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y Scale - Wages\2025\"/>
    </mc:Choice>
  </mc:AlternateContent>
  <xr:revisionPtr revIDLastSave="0" documentId="13_ncr:1_{9793C7EC-7130-4D7E-818F-090A7C30433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Hourly Office" sheetId="2" r:id="rId1"/>
    <sheet name="Highway" sheetId="3" r:id="rId2"/>
    <sheet name="Sheriff" sheetId="4" r:id="rId3"/>
    <sheet name="Salaried Employees" sheetId="5" r:id="rId4"/>
    <sheet name="Miscellaneous" sheetId="6" r:id="rId5"/>
    <sheet name="TOTALS" sheetId="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6" l="1"/>
  <c r="L22" i="6"/>
  <c r="L8" i="6"/>
  <c r="L5" i="6"/>
  <c r="P3" i="5"/>
  <c r="M3" i="3"/>
  <c r="Q3" i="2"/>
  <c r="R4" i="4"/>
  <c r="R35" i="4"/>
  <c r="R28" i="4"/>
  <c r="R36" i="4"/>
  <c r="R32" i="4"/>
  <c r="R29" i="4"/>
  <c r="R27" i="4"/>
  <c r="R26" i="4"/>
  <c r="R25" i="4"/>
  <c r="R24" i="4"/>
  <c r="R23" i="4"/>
  <c r="R22" i="4"/>
  <c r="R21" i="4"/>
  <c r="R17" i="4"/>
  <c r="R16" i="4"/>
  <c r="R15" i="4"/>
  <c r="R14" i="4"/>
  <c r="Q42" i="2" l="1"/>
  <c r="Q44" i="2"/>
  <c r="Q39" i="2"/>
  <c r="P41" i="2"/>
  <c r="P42" i="2"/>
  <c r="N42" i="2"/>
  <c r="S34" i="4" l="1"/>
  <c r="S31" i="4"/>
  <c r="S13" i="4"/>
  <c r="S19" i="4"/>
  <c r="S3" i="4"/>
  <c r="S2" i="4"/>
  <c r="Y40" i="2"/>
  <c r="Y30" i="2"/>
  <c r="Y29" i="2"/>
  <c r="Y14" i="2"/>
  <c r="Y13" i="2"/>
  <c r="Y2" i="2"/>
  <c r="N16" i="3"/>
  <c r="N2" i="3"/>
  <c r="J14" i="3"/>
  <c r="J3" i="3"/>
  <c r="M17" i="3"/>
  <c r="L17" i="3"/>
  <c r="L15" i="3"/>
  <c r="J17" i="3"/>
  <c r="M15" i="3"/>
  <c r="L26" i="6"/>
  <c r="K26" i="6"/>
  <c r="K25" i="6"/>
  <c r="K24" i="6"/>
  <c r="K23" i="6"/>
  <c r="L25" i="6"/>
  <c r="L24" i="6"/>
  <c r="L23" i="6"/>
  <c r="K22" i="6"/>
  <c r="K5" i="6"/>
  <c r="N22" i="2"/>
  <c r="Q22" i="2" s="1"/>
  <c r="J22" i="2"/>
  <c r="Q21" i="2"/>
  <c r="N20" i="2"/>
  <c r="Q20" i="2" s="1"/>
  <c r="J20" i="2"/>
  <c r="P22" i="2" l="1"/>
  <c r="P20" i="2"/>
  <c r="S14" i="2" l="1"/>
  <c r="S30" i="2" l="1"/>
  <c r="L10" i="6"/>
  <c r="L28" i="6"/>
  <c r="L30" i="6" s="1"/>
  <c r="L6" i="6"/>
  <c r="L15" i="6"/>
  <c r="L19" i="6"/>
  <c r="K29" i="6"/>
  <c r="I2" i="6"/>
  <c r="O8" i="5" l="1"/>
  <c r="P15" i="5"/>
  <c r="P12" i="5"/>
  <c r="P10" i="5"/>
  <c r="P8" i="5"/>
  <c r="P6" i="5"/>
  <c r="P5" i="5"/>
  <c r="P4" i="5"/>
  <c r="O15" i="5"/>
  <c r="O14" i="5"/>
  <c r="P14" i="5" s="1"/>
  <c r="O12" i="5"/>
  <c r="O11" i="5"/>
  <c r="P11" i="5" s="1"/>
  <c r="O10" i="5"/>
  <c r="O9" i="5"/>
  <c r="P9" i="5" s="1"/>
  <c r="O6" i="5"/>
  <c r="O5" i="5"/>
  <c r="O4" i="5"/>
  <c r="O3" i="5"/>
  <c r="L3" i="5"/>
  <c r="O4" i="4"/>
  <c r="Q4" i="4" s="1"/>
  <c r="O8" i="4"/>
  <c r="R8" i="4" s="1"/>
  <c r="O16" i="5" l="1"/>
  <c r="P16" i="5"/>
  <c r="Q8" i="4"/>
  <c r="O10" i="4" l="1"/>
  <c r="R10" i="4" s="1"/>
  <c r="Q10" i="4"/>
  <c r="O9" i="4"/>
  <c r="Q9" i="4" s="1"/>
  <c r="O36" i="4"/>
  <c r="Q36" i="4" s="1"/>
  <c r="O35" i="4"/>
  <c r="Q35" i="4" s="1"/>
  <c r="Q32" i="4"/>
  <c r="O29" i="4"/>
  <c r="Q29" i="4" s="1"/>
  <c r="O27" i="4"/>
  <c r="Q27" i="4" s="1"/>
  <c r="O5" i="4"/>
  <c r="R5" i="4" s="1"/>
  <c r="O7" i="4"/>
  <c r="Q7" i="4" s="1"/>
  <c r="O6" i="4"/>
  <c r="Q6" i="4" s="1"/>
  <c r="J13" i="3"/>
  <c r="L13" i="3" s="1"/>
  <c r="J10" i="3"/>
  <c r="L10" i="3" s="1"/>
  <c r="J8" i="3"/>
  <c r="L8" i="3" s="1"/>
  <c r="N4" i="2"/>
  <c r="N7" i="2"/>
  <c r="Q7" i="2" s="1"/>
  <c r="J4" i="2"/>
  <c r="L45" i="2"/>
  <c r="L41" i="2"/>
  <c r="L33" i="2"/>
  <c r="L32" i="2"/>
  <c r="L28" i="2"/>
  <c r="L27" i="2"/>
  <c r="L25" i="2"/>
  <c r="L23" i="2"/>
  <c r="L17" i="2"/>
  <c r="L12" i="2"/>
  <c r="L11" i="2"/>
  <c r="L9" i="2"/>
  <c r="Q5" i="4" l="1"/>
  <c r="R6" i="4"/>
  <c r="R7" i="4"/>
  <c r="R9" i="4"/>
  <c r="M10" i="3"/>
  <c r="M8" i="3"/>
  <c r="M13" i="3"/>
  <c r="N43" i="2" l="1"/>
  <c r="N34" i="2"/>
  <c r="Q4" i="2"/>
  <c r="J3" i="2"/>
  <c r="L3" i="2" s="1"/>
  <c r="N3" i="2" s="1"/>
  <c r="P34" i="2" l="1"/>
  <c r="Q34" i="2"/>
  <c r="Q43" i="2"/>
  <c r="P43" i="2"/>
  <c r="P4" i="2"/>
  <c r="P3" i="2"/>
  <c r="I13" i="6"/>
  <c r="E2" i="6"/>
  <c r="E3" i="6"/>
  <c r="E4" i="6"/>
  <c r="E15" i="6"/>
  <c r="E19" i="6"/>
  <c r="E28" i="6"/>
  <c r="E30" i="6" s="1"/>
  <c r="E6" i="6" l="1"/>
  <c r="G2" i="6"/>
  <c r="N41" i="2" l="1"/>
  <c r="Q41" i="2" l="1"/>
  <c r="J26" i="4"/>
  <c r="K26" i="4" s="1"/>
  <c r="M26" i="4" l="1"/>
  <c r="O26" i="4" l="1"/>
  <c r="Q26" i="4" s="1"/>
  <c r="N19" i="2"/>
  <c r="P19" i="2" l="1"/>
  <c r="Q19" i="2"/>
  <c r="N44" i="2"/>
  <c r="P44" i="2" l="1"/>
  <c r="J35" i="4"/>
  <c r="G32" i="4" l="1"/>
  <c r="N45" i="2" l="1"/>
  <c r="P45" i="2" l="1"/>
  <c r="Q45" i="2"/>
  <c r="M8" i="5"/>
  <c r="Q37" i="4" l="1"/>
  <c r="N27" i="2" l="1"/>
  <c r="H22" i="6"/>
  <c r="I22" i="6" s="1"/>
  <c r="I27" i="6"/>
  <c r="N25" i="2"/>
  <c r="G9" i="3"/>
  <c r="H9" i="3" s="1"/>
  <c r="J9" i="3" s="1"/>
  <c r="H12" i="6"/>
  <c r="I12" i="6" s="1"/>
  <c r="P25" i="2" l="1"/>
  <c r="Q25" i="2"/>
  <c r="P27" i="2"/>
  <c r="Q27" i="2"/>
  <c r="L9" i="3"/>
  <c r="M9" i="3"/>
  <c r="N33" i="2"/>
  <c r="P33" i="2" l="1"/>
  <c r="Q33" i="2"/>
  <c r="N23" i="2"/>
  <c r="P23" i="2" l="1"/>
  <c r="Q23" i="2"/>
  <c r="H14" i="5"/>
  <c r="H29" i="6" l="1"/>
  <c r="I29" i="6" s="1"/>
  <c r="H26" i="6"/>
  <c r="H25" i="6"/>
  <c r="H24" i="6"/>
  <c r="H23" i="6"/>
  <c r="H8" i="6"/>
  <c r="H5" i="6"/>
  <c r="L12" i="5"/>
  <c r="M12" i="5" s="1"/>
  <c r="L5" i="5"/>
  <c r="F3" i="3"/>
  <c r="N28" i="2"/>
  <c r="N17" i="2"/>
  <c r="N12" i="2"/>
  <c r="N11" i="2"/>
  <c r="N9" i="2"/>
  <c r="P12" i="2" l="1"/>
  <c r="Q12" i="2"/>
  <c r="P9" i="2"/>
  <c r="Q9" i="2"/>
  <c r="P11" i="2"/>
  <c r="Q11" i="2"/>
  <c r="P17" i="2"/>
  <c r="Q17" i="2"/>
  <c r="P28" i="2"/>
  <c r="Q28" i="2"/>
  <c r="G3" i="3"/>
  <c r="H3" i="3" s="1"/>
  <c r="W32" i="2"/>
  <c r="N32" i="2"/>
  <c r="G9" i="6"/>
  <c r="I9" i="6" s="1"/>
  <c r="L3" i="3" l="1"/>
  <c r="P32" i="2"/>
  <c r="Q32" i="2"/>
  <c r="I26" i="6"/>
  <c r="I25" i="6"/>
  <c r="I24" i="6"/>
  <c r="I23" i="6"/>
  <c r="I17" i="6"/>
  <c r="I19" i="6" s="1"/>
  <c r="I10" i="6"/>
  <c r="I5" i="6"/>
  <c r="I28" i="6" l="1"/>
  <c r="I30" i="6" s="1"/>
  <c r="I15" i="6"/>
  <c r="J4" i="4"/>
  <c r="G15" i="6" l="1"/>
  <c r="J14" i="5"/>
  <c r="J10" i="5"/>
  <c r="J15" i="5"/>
  <c r="J12" i="5"/>
  <c r="J11" i="5"/>
  <c r="J9" i="5"/>
  <c r="J8" i="5"/>
  <c r="J6" i="5"/>
  <c r="J5" i="5"/>
  <c r="J4" i="5"/>
  <c r="J3" i="5"/>
  <c r="I36" i="4"/>
  <c r="I24" i="4"/>
  <c r="J24" i="4" s="1"/>
  <c r="I9" i="4"/>
  <c r="F17" i="3"/>
  <c r="G17" i="3" s="1"/>
  <c r="H17" i="3" s="1"/>
  <c r="F15" i="3"/>
  <c r="G15" i="3" s="1"/>
  <c r="F14" i="3"/>
  <c r="G14" i="3" s="1"/>
  <c r="H14" i="3" s="1"/>
  <c r="F13" i="3"/>
  <c r="G13" i="3" s="1"/>
  <c r="F11" i="3"/>
  <c r="F10" i="3"/>
  <c r="G10" i="3" s="1"/>
  <c r="F7" i="3"/>
  <c r="F6" i="3"/>
  <c r="G6" i="3" s="1"/>
  <c r="F5" i="3"/>
  <c r="G5" i="3" s="1"/>
  <c r="F4" i="3"/>
  <c r="G4" i="3" s="1"/>
  <c r="J7" i="2"/>
  <c r="P7" i="2" s="1"/>
  <c r="J6" i="2"/>
  <c r="N6" i="2" s="1"/>
  <c r="D6" i="6"/>
  <c r="P6" i="2" l="1"/>
  <c r="Q6" i="2"/>
  <c r="L14" i="3"/>
  <c r="M14" i="3"/>
  <c r="J16" i="5"/>
  <c r="H5" i="3"/>
  <c r="J5" i="3" s="1"/>
  <c r="H6" i="3"/>
  <c r="J6" i="3" s="1"/>
  <c r="G11" i="3"/>
  <c r="H11" i="3" s="1"/>
  <c r="J11" i="3" s="1"/>
  <c r="G7" i="3"/>
  <c r="H7" i="3" s="1"/>
  <c r="J7" i="3" s="1"/>
  <c r="H15" i="3"/>
  <c r="J15" i="3" s="1"/>
  <c r="H4" i="3"/>
  <c r="J4" i="3" s="1"/>
  <c r="G12" i="3"/>
  <c r="H12" i="3" s="1"/>
  <c r="J12" i="3" s="1"/>
  <c r="M12" i="3" s="1"/>
  <c r="G8" i="3"/>
  <c r="J9" i="4"/>
  <c r="J36" i="4"/>
  <c r="M7" i="3" l="1"/>
  <c r="L7" i="3"/>
  <c r="L12" i="3"/>
  <c r="M4" i="3"/>
  <c r="L4" i="3"/>
  <c r="M11" i="3"/>
  <c r="L11" i="3"/>
  <c r="L6" i="3"/>
  <c r="M6" i="3"/>
  <c r="L5" i="3"/>
  <c r="M5" i="3"/>
  <c r="K9" i="4"/>
  <c r="K36" i="4"/>
  <c r="K24" i="4"/>
  <c r="G19" i="6"/>
  <c r="G10" i="6"/>
  <c r="G28" i="6"/>
  <c r="G30" i="6" s="1"/>
  <c r="L24" i="4" l="1"/>
  <c r="D28" i="6"/>
  <c r="M24" i="4" l="1"/>
  <c r="G10" i="4"/>
  <c r="I10" i="4" s="1"/>
  <c r="O24" i="4" l="1"/>
  <c r="Q24" i="4" s="1"/>
  <c r="J10" i="4"/>
  <c r="G25" i="4"/>
  <c r="I25" i="4" s="1"/>
  <c r="J25" i="4" s="1"/>
  <c r="K10" i="4" l="1"/>
  <c r="H36" i="2"/>
  <c r="J36" i="2" s="1"/>
  <c r="H37" i="2"/>
  <c r="J37" i="2" s="1"/>
  <c r="H39" i="2"/>
  <c r="J39" i="2" s="1"/>
  <c r="L39" i="2" l="1"/>
  <c r="N39" i="2" s="1"/>
  <c r="L37" i="2"/>
  <c r="N37" i="2" s="1"/>
  <c r="L36" i="2"/>
  <c r="N36" i="2" s="1"/>
  <c r="K25" i="4"/>
  <c r="Q11" i="4"/>
  <c r="P36" i="2" l="1"/>
  <c r="Q36" i="2"/>
  <c r="P37" i="2"/>
  <c r="Q37" i="2"/>
  <c r="P39" i="2"/>
  <c r="L25" i="4"/>
  <c r="L19" i="3"/>
  <c r="B3" i="7" s="1"/>
  <c r="M25" i="4" l="1"/>
  <c r="B10" i="7"/>
  <c r="B9" i="7"/>
  <c r="O25" i="4" l="1"/>
  <c r="Q25" i="4" s="1"/>
  <c r="B8" i="7"/>
  <c r="B7" i="7"/>
  <c r="G3" i="6"/>
  <c r="I3" i="6" s="1"/>
  <c r="G4" i="6" l="1"/>
  <c r="I4" i="6" s="1"/>
  <c r="C6" i="7"/>
  <c r="C8" i="7"/>
  <c r="G6" i="6" l="1"/>
  <c r="I6" i="6"/>
  <c r="D19" i="6"/>
  <c r="C9" i="7" l="1"/>
  <c r="C10" i="7"/>
  <c r="C11" i="7"/>
  <c r="B11" i="7"/>
  <c r="I3" i="5"/>
  <c r="K3" i="5" s="1"/>
  <c r="H4" i="5"/>
  <c r="H6" i="5"/>
  <c r="H9" i="5"/>
  <c r="H10" i="5"/>
  <c r="I10" i="5" s="1"/>
  <c r="K10" i="5" s="1"/>
  <c r="H11" i="5"/>
  <c r="H12" i="5"/>
  <c r="I12" i="5" s="1"/>
  <c r="H15" i="5"/>
  <c r="I15" i="5" s="1"/>
  <c r="F14" i="5"/>
  <c r="F11" i="5"/>
  <c r="I11" i="5" s="1"/>
  <c r="K11" i="5" s="1"/>
  <c r="F9" i="5"/>
  <c r="F8" i="5"/>
  <c r="I8" i="5" s="1"/>
  <c r="F6" i="5"/>
  <c r="F4" i="5"/>
  <c r="G17" i="4"/>
  <c r="I17" i="4" s="1"/>
  <c r="J17" i="4" s="1"/>
  <c r="G23" i="4"/>
  <c r="I23" i="4" s="1"/>
  <c r="J23" i="4" s="1"/>
  <c r="G22" i="4"/>
  <c r="I22" i="4" s="1"/>
  <c r="J22" i="4" s="1"/>
  <c r="G21" i="4"/>
  <c r="I21" i="4" s="1"/>
  <c r="J21" i="4" s="1"/>
  <c r="G20" i="4"/>
  <c r="I20" i="4" s="1"/>
  <c r="J20" i="4" s="1"/>
  <c r="G16" i="4"/>
  <c r="I16" i="4" s="1"/>
  <c r="J16" i="4" s="1"/>
  <c r="G15" i="4"/>
  <c r="I15" i="4" s="1"/>
  <c r="G14" i="4"/>
  <c r="I14" i="4" s="1"/>
  <c r="G8" i="4"/>
  <c r="I8" i="4" s="1"/>
  <c r="G7" i="4"/>
  <c r="I7" i="4" s="1"/>
  <c r="G6" i="4"/>
  <c r="I6" i="4" s="1"/>
  <c r="G5" i="4"/>
  <c r="I5" i="4" s="1"/>
  <c r="O2" i="3"/>
  <c r="P2" i="3" s="1"/>
  <c r="Q2" i="3" s="1"/>
  <c r="R2" i="3" s="1"/>
  <c r="S2" i="3" s="1"/>
  <c r="H46" i="2"/>
  <c r="J46" i="2" s="1"/>
  <c r="H38" i="2"/>
  <c r="J38" i="2" s="1"/>
  <c r="H35" i="2"/>
  <c r="J35" i="2" s="1"/>
  <c r="H34" i="2"/>
  <c r="H33" i="2"/>
  <c r="H31" i="2"/>
  <c r="J31" i="2" s="1"/>
  <c r="H26" i="2"/>
  <c r="J26" i="2" s="1"/>
  <c r="H24" i="2"/>
  <c r="J24" i="2" s="1"/>
  <c r="H23" i="2"/>
  <c r="H18" i="2"/>
  <c r="J18" i="2" s="1"/>
  <c r="H17" i="2"/>
  <c r="H16" i="2"/>
  <c r="J16" i="2" s="1"/>
  <c r="H15" i="2"/>
  <c r="J15" i="2" s="1"/>
  <c r="S13" i="2"/>
  <c r="T13" i="2" s="1"/>
  <c r="U13" i="2" s="1"/>
  <c r="V13" i="2" s="1"/>
  <c r="W13" i="2" s="1"/>
  <c r="H10" i="2"/>
  <c r="J10" i="2" s="1"/>
  <c r="L10" i="2" s="1"/>
  <c r="H8" i="2"/>
  <c r="J8" i="2" s="1"/>
  <c r="L8" i="2" s="1"/>
  <c r="H5" i="2"/>
  <c r="J5" i="2" s="1"/>
  <c r="S2" i="2"/>
  <c r="T2" i="2" s="1"/>
  <c r="U2" i="2" s="1"/>
  <c r="V2" i="2" s="1"/>
  <c r="W2" i="2" s="1"/>
  <c r="L26" i="2" l="1"/>
  <c r="N26" i="2" s="1"/>
  <c r="L35" i="2"/>
  <c r="N35" i="2" s="1"/>
  <c r="L46" i="2"/>
  <c r="N46" i="2" s="1"/>
  <c r="Q46" i="2" s="1"/>
  <c r="L5" i="2"/>
  <c r="N5" i="2" s="1"/>
  <c r="L24" i="2"/>
  <c r="N24" i="2" s="1"/>
  <c r="L31" i="2"/>
  <c r="N31" i="2" s="1"/>
  <c r="L38" i="2"/>
  <c r="N38" i="2" s="1"/>
  <c r="L15" i="2"/>
  <c r="N15" i="2" s="1"/>
  <c r="L16" i="2"/>
  <c r="N16" i="2" s="1"/>
  <c r="L18" i="2"/>
  <c r="N18" i="2" s="1"/>
  <c r="N8" i="2"/>
  <c r="N10" i="2"/>
  <c r="K15" i="5"/>
  <c r="I6" i="5"/>
  <c r="J14" i="4"/>
  <c r="K14" i="4" s="1"/>
  <c r="J15" i="4"/>
  <c r="K20" i="4"/>
  <c r="L10" i="5"/>
  <c r="M3" i="5"/>
  <c r="L11" i="5"/>
  <c r="J5" i="4"/>
  <c r="J6" i="4"/>
  <c r="J7" i="4"/>
  <c r="J8" i="4"/>
  <c r="B4" i="7"/>
  <c r="I9" i="5"/>
  <c r="K9" i="5" s="1"/>
  <c r="I14" i="5"/>
  <c r="I4" i="5"/>
  <c r="K4" i="5" s="1"/>
  <c r="M19" i="3"/>
  <c r="C3" i="7" s="1"/>
  <c r="P16" i="2" l="1"/>
  <c r="Q16" i="2"/>
  <c r="P18" i="2"/>
  <c r="Q18" i="2"/>
  <c r="P15" i="2"/>
  <c r="Q15" i="2"/>
  <c r="P38" i="2"/>
  <c r="Q38" i="2"/>
  <c r="P31" i="2"/>
  <c r="Q31" i="2"/>
  <c r="P24" i="2"/>
  <c r="Q24" i="2"/>
  <c r="P5" i="2"/>
  <c r="Q5" i="2"/>
  <c r="P35" i="2"/>
  <c r="Q35" i="2"/>
  <c r="P26" i="2"/>
  <c r="Q26" i="2"/>
  <c r="P46" i="2"/>
  <c r="P10" i="2"/>
  <c r="Q10" i="2"/>
  <c r="P8" i="2"/>
  <c r="Q8" i="2"/>
  <c r="K6" i="5"/>
  <c r="K14" i="5"/>
  <c r="L14" i="4"/>
  <c r="L20" i="4"/>
  <c r="L9" i="5"/>
  <c r="L4" i="5"/>
  <c r="K23" i="4"/>
  <c r="K21" i="4"/>
  <c r="K16" i="4"/>
  <c r="K5" i="4"/>
  <c r="K6" i="4"/>
  <c r="K7" i="4"/>
  <c r="K22" i="4"/>
  <c r="K8" i="4"/>
  <c r="K17" i="4"/>
  <c r="K15" i="4"/>
  <c r="S29" i="2"/>
  <c r="T29" i="2" s="1"/>
  <c r="U29" i="2" s="1"/>
  <c r="V29" i="2" s="1"/>
  <c r="W29" i="2" s="1"/>
  <c r="S40" i="2"/>
  <c r="T40" i="2" s="1"/>
  <c r="U40" i="2" s="1"/>
  <c r="V40" i="2" s="1"/>
  <c r="W40" i="2" s="1"/>
  <c r="C7" i="7"/>
  <c r="Q47" i="2" l="1"/>
  <c r="C2" i="7" s="1"/>
  <c r="P47" i="2"/>
  <c r="B2" i="7" s="1"/>
  <c r="M14" i="4"/>
  <c r="K16" i="5"/>
  <c r="L6" i="5"/>
  <c r="L16" i="5" s="1"/>
  <c r="M20" i="4"/>
  <c r="O20" i="4" s="1"/>
  <c r="L22" i="4"/>
  <c r="L21" i="4"/>
  <c r="L23" i="4"/>
  <c r="L17" i="4"/>
  <c r="M17" i="4" s="1"/>
  <c r="L16" i="4"/>
  <c r="M16" i="4" s="1"/>
  <c r="L15" i="4"/>
  <c r="M15" i="4" s="1"/>
  <c r="M4" i="5"/>
  <c r="M16" i="5" s="1"/>
  <c r="H16" i="5"/>
  <c r="B5" i="7" s="1"/>
  <c r="I16" i="5"/>
  <c r="C5" i="7" s="1"/>
  <c r="B12" i="7" l="1"/>
  <c r="O15" i="4"/>
  <c r="Q15" i="4" s="1"/>
  <c r="O16" i="4"/>
  <c r="Q16" i="4" s="1"/>
  <c r="O17" i="4"/>
  <c r="Q17" i="4" s="1"/>
  <c r="O14" i="4"/>
  <c r="Q14" i="4" s="1"/>
  <c r="M23" i="4"/>
  <c r="M21" i="4"/>
  <c r="M22" i="4"/>
  <c r="O22" i="4" l="1"/>
  <c r="Q22" i="4" s="1"/>
  <c r="O21" i="4"/>
  <c r="Q21" i="4" s="1"/>
  <c r="O23" i="4"/>
  <c r="Q23" i="4" s="1"/>
  <c r="R39" i="4" l="1"/>
  <c r="Q39" i="4"/>
  <c r="C4" i="7" s="1"/>
  <c r="C1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 Fish</author>
  </authors>
  <commentList>
    <comment ref="K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Tracy Fish:</t>
        </r>
        <r>
          <rPr>
            <sz val="9"/>
            <color indexed="81"/>
            <rFont val="Tahoma"/>
            <family val="2"/>
          </rPr>
          <t xml:space="preserve">
$6,000 on top of $3,120 raise</t>
        </r>
      </text>
    </comment>
  </commentList>
</comments>
</file>

<file path=xl/sharedStrings.xml><?xml version="1.0" encoding="utf-8"?>
<sst xmlns="http://schemas.openxmlformats.org/spreadsheetml/2006/main" count="477" uniqueCount="287">
  <si>
    <t>Deputy Treasurer II</t>
  </si>
  <si>
    <t>Planning Technician</t>
  </si>
  <si>
    <t>Library Hermosa Br Dir</t>
  </si>
  <si>
    <t>Deputy Treasurer I</t>
  </si>
  <si>
    <t>Deputy Auditor  I</t>
  </si>
  <si>
    <t>Deputy ROD</t>
  </si>
  <si>
    <t>Maintenance Tech</t>
  </si>
  <si>
    <t>24/7 Technician PT</t>
  </si>
  <si>
    <t>Nurse Secretary</t>
  </si>
  <si>
    <t>Legal Assistant</t>
  </si>
  <si>
    <t>Library Relief PT Temp</t>
  </si>
  <si>
    <t>Admin Legal Assistant</t>
  </si>
  <si>
    <t>Office Manager - DOE</t>
  </si>
  <si>
    <t>Uncertified Appraiser</t>
  </si>
  <si>
    <t>Certified Appraiser</t>
  </si>
  <si>
    <t>YRS</t>
  </si>
  <si>
    <t>4yr 6mo</t>
  </si>
  <si>
    <t>2 yr 1 mo</t>
  </si>
  <si>
    <t>3yr 6mo</t>
  </si>
  <si>
    <t>2yr 7mo</t>
  </si>
  <si>
    <t>7yr 5mo</t>
  </si>
  <si>
    <t>25yr 4mo</t>
  </si>
  <si>
    <t>4yr 1mo</t>
  </si>
  <si>
    <t>3yr 2mo</t>
  </si>
  <si>
    <t>2yr 1mo</t>
  </si>
  <si>
    <t>1yr 3mo</t>
  </si>
  <si>
    <t>39yr 6mo</t>
  </si>
  <si>
    <t>1yr</t>
  </si>
  <si>
    <t>1yr 9mo</t>
  </si>
  <si>
    <t>14yr 9mo</t>
  </si>
  <si>
    <t>10yr 2mo</t>
  </si>
  <si>
    <t>3yr 4mo</t>
  </si>
  <si>
    <t>3yr 1 mo</t>
  </si>
  <si>
    <t>3 yr</t>
  </si>
  <si>
    <t>Deputy Treasurer III</t>
  </si>
  <si>
    <t>Deputy Auditor III</t>
  </si>
  <si>
    <t xml:space="preserve">          6 mo</t>
  </si>
  <si>
    <t>Employee</t>
  </si>
  <si>
    <t>Raise</t>
  </si>
  <si>
    <t>2022 Wage</t>
  </si>
  <si>
    <t xml:space="preserve">Eileen W.       </t>
  </si>
  <si>
    <t xml:space="preserve">Karen H.         </t>
  </si>
  <si>
    <t xml:space="preserve">Dana B.         </t>
  </si>
  <si>
    <t>Years @ Current Grade</t>
  </si>
  <si>
    <t>Total Yrs by 01/22</t>
  </si>
  <si>
    <t xml:space="preserve">Karen W.         </t>
  </si>
  <si>
    <t xml:space="preserve">Roberta P.    </t>
  </si>
  <si>
    <t xml:space="preserve">Kelly H.      </t>
  </si>
  <si>
    <t xml:space="preserve">Barb C.    </t>
  </si>
  <si>
    <t xml:space="preserve">Paula A.      </t>
  </si>
  <si>
    <t xml:space="preserve">Alan D.       </t>
  </si>
  <si>
    <t xml:space="preserve">Brandon D. </t>
  </si>
  <si>
    <t xml:space="preserve">Paula A.     </t>
  </si>
  <si>
    <t xml:space="preserve">Lindsey L.    </t>
  </si>
  <si>
    <t xml:space="preserve">Cinda J.       </t>
  </si>
  <si>
    <t xml:space="preserve">Laura R.      </t>
  </si>
  <si>
    <t>Custer County                  Positions</t>
  </si>
  <si>
    <t>Pay Grade 1</t>
  </si>
  <si>
    <t>Pay Grade 2</t>
  </si>
  <si>
    <t>Pay Grade 3</t>
  </si>
  <si>
    <t>Pay Grade 4</t>
  </si>
  <si>
    <t xml:space="preserve">Lela L.               </t>
  </si>
  <si>
    <t>Deputy Planner</t>
  </si>
  <si>
    <t>Base Hiring</t>
  </si>
  <si>
    <t>Longevity Replaces Steps</t>
  </si>
  <si>
    <t>Library Asst Prog/Circ</t>
  </si>
  <si>
    <t>2yr 8mo</t>
  </si>
  <si>
    <t>4yr 9mo</t>
  </si>
  <si>
    <t xml:space="preserve">         5+ mo</t>
  </si>
  <si>
    <t>2yr 9mo</t>
  </si>
  <si>
    <t>7mo</t>
  </si>
  <si>
    <t>7+mo</t>
  </si>
  <si>
    <t>Library Asst. Circ.</t>
  </si>
  <si>
    <t>Hwy Equip Operator</t>
  </si>
  <si>
    <t>Office Coordinator</t>
  </si>
  <si>
    <t>Kevin T</t>
  </si>
  <si>
    <t>Patrick A.</t>
  </si>
  <si>
    <t>Craig G.</t>
  </si>
  <si>
    <t>JW O.</t>
  </si>
  <si>
    <t>Mark J.</t>
  </si>
  <si>
    <t>Dave M.</t>
  </si>
  <si>
    <t xml:space="preserve">Justin N. </t>
  </si>
  <si>
    <t>Uncertified Dispatcher</t>
  </si>
  <si>
    <t>Dispatcher</t>
  </si>
  <si>
    <t xml:space="preserve">Michelle L. </t>
  </si>
  <si>
    <t>Hapsie N.</t>
  </si>
  <si>
    <t>Kevin C.</t>
  </si>
  <si>
    <t>11yr 7mo</t>
  </si>
  <si>
    <t>Lieutenant Dep Sheriff</t>
  </si>
  <si>
    <t>Sergeant Dep Sheriff</t>
  </si>
  <si>
    <t>Cert Dep Sheriff/SRO</t>
  </si>
  <si>
    <t>Cert Dep Sheriff</t>
  </si>
  <si>
    <t>Cert Dep Sheriff PT</t>
  </si>
  <si>
    <t>14yr 8mo</t>
  </si>
  <si>
    <t>9yr  11mo</t>
  </si>
  <si>
    <t>8yr 6mo</t>
  </si>
  <si>
    <t>3yr 1mo</t>
  </si>
  <si>
    <t>3yr 10mo</t>
  </si>
  <si>
    <t>1yr 2mo</t>
  </si>
  <si>
    <t>Stephen M.</t>
  </si>
  <si>
    <t>Jeff M.</t>
  </si>
  <si>
    <t>Derrick R.</t>
  </si>
  <si>
    <t xml:space="preserve">Stephen Y. </t>
  </si>
  <si>
    <t>Dave C.</t>
  </si>
  <si>
    <t>Years w/County</t>
  </si>
  <si>
    <t>Years as DH/Sal</t>
  </si>
  <si>
    <t>Grade 2</t>
  </si>
  <si>
    <t>4 yr 7 mo</t>
  </si>
  <si>
    <t>3yr  3mo</t>
  </si>
  <si>
    <t>1 yr 9 mo</t>
  </si>
  <si>
    <t>7yr  2mo</t>
  </si>
  <si>
    <t>*Grade 3</t>
  </si>
  <si>
    <t>29 yr</t>
  </si>
  <si>
    <t>16 yr</t>
  </si>
  <si>
    <t>2yr 2mo</t>
  </si>
  <si>
    <t>5yr  10mo</t>
  </si>
  <si>
    <t>2 yr</t>
  </si>
  <si>
    <t>9yr  6mo</t>
  </si>
  <si>
    <t>5 yr</t>
  </si>
  <si>
    <t>9mo</t>
  </si>
  <si>
    <t>Grade 4</t>
  </si>
  <si>
    <t>7yr  3mo</t>
  </si>
  <si>
    <t>17 yr</t>
  </si>
  <si>
    <t>16 yr.</t>
  </si>
  <si>
    <t>Other Salaried</t>
  </si>
  <si>
    <t>Commissioners</t>
  </si>
  <si>
    <t>Various</t>
  </si>
  <si>
    <t>Additional Duties</t>
  </si>
  <si>
    <t>Stipend</t>
  </si>
  <si>
    <t>Safety Coordinator</t>
  </si>
  <si>
    <t>Miscellaneous</t>
  </si>
  <si>
    <t>Hours</t>
  </si>
  <si>
    <t>TOTAL MISCELLANEOUS</t>
  </si>
  <si>
    <t>Boards</t>
  </si>
  <si>
    <t>TOTAL BOARDS</t>
  </si>
  <si>
    <t>Hwy Equip Op./Foreman</t>
  </si>
  <si>
    <t>Adjustment</t>
  </si>
  <si>
    <t>Cost</t>
  </si>
  <si>
    <t>TOTALS</t>
  </si>
  <si>
    <t>Hourly Office Staff</t>
  </si>
  <si>
    <t>Highway Department Hourly</t>
  </si>
  <si>
    <t>Salaried Employees</t>
  </si>
  <si>
    <t>Stipends</t>
  </si>
  <si>
    <t>Miscellaneous Positions</t>
  </si>
  <si>
    <t>Commission</t>
  </si>
  <si>
    <t>PT Deputy States Attorney</t>
  </si>
  <si>
    <t>Commission Legal Counsel</t>
  </si>
  <si>
    <t>Dispatch/Sheriff's Department Hourly</t>
  </si>
  <si>
    <t>Weed Board &amp; Planning Board</t>
  </si>
  <si>
    <t>Planning Commission (8)</t>
  </si>
  <si>
    <t>Weed Board (5)</t>
  </si>
  <si>
    <t>Annual Increase</t>
  </si>
  <si>
    <t>Custodian I - 2nd Shift</t>
  </si>
  <si>
    <t>Total Increase from 2021</t>
  </si>
  <si>
    <t>Total Wages Budgeted for Group</t>
  </si>
  <si>
    <t>Shift Differential 13,000 hours between 6 p.m. &amp; 6 a.m.</t>
  </si>
  <si>
    <t xml:space="preserve">6PM-6AM Shift Differential </t>
  </si>
  <si>
    <t>1 yr. 6 mo</t>
  </si>
  <si>
    <t>0 mo</t>
  </si>
  <si>
    <t>Kourtnee A.</t>
  </si>
  <si>
    <t>2mo</t>
  </si>
  <si>
    <t>1mo</t>
  </si>
  <si>
    <t>Wanda G.</t>
  </si>
  <si>
    <t>3 yr. 1 mo</t>
  </si>
  <si>
    <t>Francis C.</t>
  </si>
  <si>
    <t>2 mo</t>
  </si>
  <si>
    <t>2021              Wage</t>
  </si>
  <si>
    <t xml:space="preserve">Hwy Equip Operator </t>
  </si>
  <si>
    <t>State Date</t>
  </si>
  <si>
    <t>Randy S</t>
  </si>
  <si>
    <t>2023 Wage</t>
  </si>
  <si>
    <t>Start Date</t>
  </si>
  <si>
    <t>Tierney S.</t>
  </si>
  <si>
    <t>Sharon B.</t>
  </si>
  <si>
    <t xml:space="preserve"> </t>
  </si>
  <si>
    <t>Amber M.</t>
  </si>
  <si>
    <t>Walter K.</t>
  </si>
  <si>
    <t>Victim's Advocate -Lela L.</t>
  </si>
  <si>
    <t>Mark Hartman</t>
  </si>
  <si>
    <t>Craig Hindle</t>
  </si>
  <si>
    <t>Mike Linde</t>
  </si>
  <si>
    <t>James Lintz</t>
  </si>
  <si>
    <t>Dep. States Attorney -Wendy M.</t>
  </si>
  <si>
    <t>Contractors</t>
  </si>
  <si>
    <t>Airport -Brendan H.</t>
  </si>
  <si>
    <t>1.50/hr</t>
  </si>
  <si>
    <t>Bld./Maint Sup. - Joe P.</t>
  </si>
  <si>
    <t>Planning Director - Terri K.</t>
  </si>
  <si>
    <t>IST/GIS Director - Troy S.</t>
  </si>
  <si>
    <t>Treasurer/Auditor - Dawn M.</t>
  </si>
  <si>
    <t>Emergency Mgmt - Steve E.</t>
  </si>
  <si>
    <t>Sheriff - Marty M.</t>
  </si>
  <si>
    <t>States Attorney - Tracy Kelley</t>
  </si>
  <si>
    <t>N/A</t>
  </si>
  <si>
    <t>TOTAL CONTRACTORS</t>
  </si>
  <si>
    <t>TOTAL COMMISION BOARD</t>
  </si>
  <si>
    <t>TOTAL OTHER SALARIED</t>
  </si>
  <si>
    <t xml:space="preserve">Hours </t>
  </si>
  <si>
    <t xml:space="preserve">Library Asst </t>
  </si>
  <si>
    <t>18.00/hr</t>
  </si>
  <si>
    <t>Deputy Treasurer IIi</t>
  </si>
  <si>
    <t>Matt H.</t>
  </si>
  <si>
    <t>Robert S.</t>
  </si>
  <si>
    <t>8mo</t>
  </si>
  <si>
    <t>Coroner - Jim S.</t>
  </si>
  <si>
    <t>-</t>
  </si>
  <si>
    <t>Sheriff/Admin</t>
  </si>
  <si>
    <t>Jessica B.</t>
  </si>
  <si>
    <t>Michael Busskohl</t>
  </si>
  <si>
    <t>1.50/hr $19.50</t>
  </si>
  <si>
    <t>Register of Deeds - Teri M.</t>
  </si>
  <si>
    <t>2024 Wage</t>
  </si>
  <si>
    <t>Admin/Civil Deputy</t>
  </si>
  <si>
    <t>Com Legal Counsel - Aaron</t>
  </si>
  <si>
    <t>Library Director - Sarah M</t>
  </si>
  <si>
    <t>Sarah C</t>
  </si>
  <si>
    <t>Jamie D</t>
  </si>
  <si>
    <t>Library Relief Staff</t>
  </si>
  <si>
    <t>Michelle Z</t>
  </si>
  <si>
    <t>`</t>
  </si>
  <si>
    <t>Brieanna Mae</t>
  </si>
  <si>
    <t>Kevin A.</t>
  </si>
  <si>
    <t>Tierney S..</t>
  </si>
  <si>
    <t>Per diem 9 Mileage</t>
  </si>
  <si>
    <t>Vacant</t>
  </si>
  <si>
    <t>Proposing Shift Differential Pay at an extra $1.00/hour between 6 p.m. and 6 a.m./ Sergeants are Paid an extra $1/hour</t>
  </si>
  <si>
    <t>Deputy Finance Officer</t>
  </si>
  <si>
    <t>Uncert Dep Sheriff</t>
  </si>
  <si>
    <t>Office Support</t>
  </si>
  <si>
    <t xml:space="preserve">Certified </t>
  </si>
  <si>
    <t>Uncertified</t>
  </si>
  <si>
    <t>Victim's Advocate - Cinda Jones</t>
  </si>
  <si>
    <t>$20.48/520 hrs</t>
  </si>
  <si>
    <t>$18.00/hr</t>
  </si>
  <si>
    <t>$40 per mtg.</t>
  </si>
  <si>
    <t>Election Workers</t>
  </si>
  <si>
    <t>Proposing Shift Differential Pay at an extra $1.00/hour between 6 p.m. and 6 a.m.</t>
  </si>
  <si>
    <t>vacant</t>
  </si>
  <si>
    <t>Michael S</t>
  </si>
  <si>
    <t>Noah T</t>
  </si>
  <si>
    <t>AdditionalRaise</t>
  </si>
  <si>
    <t>Mason M.</t>
  </si>
  <si>
    <t>McKinsey</t>
  </si>
  <si>
    <t>Highway Super. - Jesse D.</t>
  </si>
  <si>
    <t>Nicholas M</t>
  </si>
  <si>
    <t>Zoë H.</t>
  </si>
  <si>
    <t>Richard B.</t>
  </si>
  <si>
    <t>Weed Seasonal - Remington Miklos</t>
  </si>
  <si>
    <t>Tammy Pierce</t>
  </si>
  <si>
    <t>Connor Kelley</t>
  </si>
  <si>
    <t>Matthew Tramp</t>
  </si>
  <si>
    <t>Daniel Walton</t>
  </si>
  <si>
    <t>EM Public Relation -Vacant</t>
  </si>
  <si>
    <t>Cooper Reutter</t>
  </si>
  <si>
    <t>Elizabeth Allen</t>
  </si>
  <si>
    <t>Tara Haswell</t>
  </si>
  <si>
    <t>Michael B.</t>
  </si>
  <si>
    <t>Todd F.</t>
  </si>
  <si>
    <t>Marlyn C.</t>
  </si>
  <si>
    <t>Lori Eggerth</t>
  </si>
  <si>
    <t>on call</t>
  </si>
  <si>
    <t>Uncertiffied Appraiser</t>
  </si>
  <si>
    <t>Marc Moore</t>
  </si>
  <si>
    <t>DOE - Scott Storms</t>
  </si>
  <si>
    <t xml:space="preserve">  </t>
  </si>
  <si>
    <t>Amber Maidens</t>
  </si>
  <si>
    <t>Kody Schonebaum</t>
  </si>
  <si>
    <t>3% Cola</t>
  </si>
  <si>
    <t>Total 2025 Wages Per Year</t>
  </si>
  <si>
    <t>Temp-27 hrs</t>
  </si>
  <si>
    <t>2025 Wage Per hour</t>
  </si>
  <si>
    <t>2025  Wages per hour</t>
  </si>
  <si>
    <t>2024 Wages per hour</t>
  </si>
  <si>
    <t>2024 Wage per hour</t>
  </si>
  <si>
    <t>2025 Wages per hour</t>
  </si>
  <si>
    <t>2025 Wages</t>
  </si>
  <si>
    <t>2024 Wages</t>
  </si>
  <si>
    <t>Melissa B</t>
  </si>
  <si>
    <t>Uncertified Appraoser</t>
  </si>
  <si>
    <t>465.05/per pay period</t>
  </si>
  <si>
    <t>2025 Base Hiring</t>
  </si>
  <si>
    <t xml:space="preserve">2025 Base Hiring </t>
  </si>
  <si>
    <t>HR-(16/wk)</t>
  </si>
  <si>
    <t>Veteran(16/wk)</t>
  </si>
  <si>
    <t>Conservation- 25%</t>
  </si>
  <si>
    <t>Weed &amp; Pest (32/wk)- 75%</t>
  </si>
  <si>
    <t>Jeremy Schuelke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</si>
</sst>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&quot;$&quot;* #,##0.00000_);_(&quot;$&quot;* \(#,##0.00000\);_(&quot;$&quot;* &quot;-&quot;??_);_(@_)"/>
    <numFmt numFmtId="167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3F3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8" fillId="2" borderId="1" xfId="0" applyFont="1" applyFill="1" applyBorder="1" applyAlignment="1">
      <alignment horizontal="center"/>
    </xf>
    <xf numFmtId="44" fontId="8" fillId="2" borderId="1" xfId="1" applyFont="1" applyFill="1" applyBorder="1" applyAlignment="1">
      <alignment horizontal="center"/>
    </xf>
    <xf numFmtId="44" fontId="8" fillId="2" borderId="1" xfId="1" applyFont="1" applyFill="1" applyBorder="1"/>
    <xf numFmtId="0" fontId="3" fillId="0" borderId="1" xfId="0" applyFont="1" applyBorder="1" applyAlignment="1">
      <alignment horizontal="right"/>
    </xf>
    <xf numFmtId="0" fontId="3" fillId="0" borderId="1" xfId="1" applyNumberFormat="1" applyFont="1" applyBorder="1"/>
    <xf numFmtId="44" fontId="8" fillId="0" borderId="1" xfId="1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1" xfId="1" applyNumberFormat="1" applyFont="1" applyFill="1" applyBorder="1"/>
    <xf numFmtId="44" fontId="3" fillId="0" borderId="1" xfId="0" applyNumberFormat="1" applyFont="1" applyBorder="1"/>
    <xf numFmtId="44" fontId="8" fillId="0" borderId="1" xfId="0" applyNumberFormat="1" applyFont="1" applyBorder="1" applyAlignment="1">
      <alignment horizontal="center"/>
    </xf>
    <xf numFmtId="8" fontId="3" fillId="0" borderId="1" xfId="0" applyNumberFormat="1" applyFont="1" applyBorder="1"/>
    <xf numFmtId="8" fontId="3" fillId="0" borderId="1" xfId="0" applyNumberFormat="1" applyFont="1" applyBorder="1" applyAlignment="1">
      <alignment horizontal="right"/>
    </xf>
    <xf numFmtId="0" fontId="9" fillId="0" borderId="1" xfId="2" applyNumberFormat="1" applyFont="1" applyFill="1" applyBorder="1" applyAlignment="1" applyProtection="1">
      <alignment horizontal="left"/>
    </xf>
    <xf numFmtId="0" fontId="9" fillId="0" borderId="1" xfId="2" applyNumberFormat="1" applyFont="1" applyFill="1" applyBorder="1" applyAlignment="1" applyProtection="1">
      <alignment horizontal="right"/>
    </xf>
    <xf numFmtId="44" fontId="9" fillId="0" borderId="1" xfId="1" applyFont="1" applyFill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44" fontId="3" fillId="4" borderId="1" xfId="1" applyFont="1" applyFill="1" applyBorder="1"/>
    <xf numFmtId="0" fontId="8" fillId="3" borderId="1" xfId="0" applyFont="1" applyFill="1" applyBorder="1" applyAlignment="1">
      <alignment horizontal="center"/>
    </xf>
    <xf numFmtId="44" fontId="3" fillId="0" borderId="1" xfId="1" applyFont="1" applyFill="1" applyBorder="1" applyAlignment="1"/>
    <xf numFmtId="44" fontId="5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1" fillId="0" borderId="1" xfId="0" applyNumberFormat="1" applyFont="1" applyBorder="1"/>
    <xf numFmtId="0" fontId="1" fillId="0" borderId="1" xfId="0" applyFont="1" applyBorder="1"/>
    <xf numFmtId="44" fontId="5" fillId="0" borderId="1" xfId="0" applyNumberFormat="1" applyFont="1" applyBorder="1" applyAlignment="1">
      <alignment horizontal="center"/>
    </xf>
    <xf numFmtId="44" fontId="5" fillId="2" borderId="1" xfId="1" applyFont="1" applyFill="1" applyBorder="1"/>
    <xf numFmtId="0" fontId="1" fillId="4" borderId="1" xfId="0" applyFont="1" applyFill="1" applyBorder="1"/>
    <xf numFmtId="44" fontId="1" fillId="0" borderId="1" xfId="1" applyFont="1" applyFill="1" applyBorder="1"/>
    <xf numFmtId="44" fontId="1" fillId="4" borderId="1" xfId="1" applyFont="1" applyFill="1" applyBorder="1"/>
    <xf numFmtId="0" fontId="8" fillId="2" borderId="1" xfId="0" applyFont="1" applyFill="1" applyBorder="1" applyAlignment="1">
      <alignment horizontal="righ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44" fontId="8" fillId="0" borderId="5" xfId="1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2" borderId="7" xfId="0" applyFont="1" applyFill="1" applyBorder="1" applyAlignment="1">
      <alignment horizontal="center"/>
    </xf>
    <xf numFmtId="44" fontId="8" fillId="2" borderId="8" xfId="1" applyFont="1" applyFill="1" applyBorder="1"/>
    <xf numFmtId="0" fontId="3" fillId="0" borderId="7" xfId="0" applyFont="1" applyBorder="1"/>
    <xf numFmtId="44" fontId="3" fillId="0" borderId="8" xfId="1" applyFont="1" applyFill="1" applyBorder="1"/>
    <xf numFmtId="44" fontId="3" fillId="0" borderId="8" xfId="0" applyNumberFormat="1" applyFont="1" applyBorder="1"/>
    <xf numFmtId="0" fontId="3" fillId="0" borderId="7" xfId="0" applyFont="1" applyBorder="1" applyAlignment="1">
      <alignment horizontal="left"/>
    </xf>
    <xf numFmtId="0" fontId="3" fillId="4" borderId="7" xfId="0" applyFont="1" applyFill="1" applyBorder="1"/>
    <xf numFmtId="0" fontId="8" fillId="3" borderId="7" xfId="0" applyFont="1" applyFill="1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44" fontId="0" fillId="0" borderId="1" xfId="1" applyFont="1" applyBorder="1"/>
    <xf numFmtId="44" fontId="0" fillId="0" borderId="8" xfId="0" applyNumberFormat="1" applyBorder="1"/>
    <xf numFmtId="0" fontId="5" fillId="0" borderId="0" xfId="0" applyFont="1"/>
    <xf numFmtId="0" fontId="7" fillId="0" borderId="0" xfId="0" applyFont="1"/>
    <xf numFmtId="0" fontId="4" fillId="0" borderId="0" xfId="0" applyFont="1"/>
    <xf numFmtId="0" fontId="10" fillId="0" borderId="0" xfId="0" applyFont="1"/>
    <xf numFmtId="0" fontId="6" fillId="6" borderId="9" xfId="0" applyFont="1" applyFill="1" applyBorder="1" applyAlignment="1">
      <alignment horizontal="center" wrapText="1"/>
    </xf>
    <xf numFmtId="44" fontId="6" fillId="6" borderId="10" xfId="1" applyFont="1" applyFill="1" applyBorder="1"/>
    <xf numFmtId="0" fontId="6" fillId="6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right" wrapText="1"/>
    </xf>
    <xf numFmtId="44" fontId="6" fillId="6" borderId="10" xfId="1" applyFont="1" applyFill="1" applyBorder="1" applyAlignment="1">
      <alignment horizontal="center" wrapText="1"/>
    </xf>
    <xf numFmtId="44" fontId="6" fillId="6" borderId="10" xfId="0" applyNumberFormat="1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wrapText="1"/>
    </xf>
    <xf numFmtId="44" fontId="8" fillId="6" borderId="10" xfId="1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0" fillId="7" borderId="0" xfId="0" applyFill="1"/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/>
    <xf numFmtId="44" fontId="0" fillId="7" borderId="1" xfId="0" applyNumberFormat="1" applyFill="1" applyBorder="1"/>
    <xf numFmtId="44" fontId="0" fillId="0" borderId="1" xfId="0" applyNumberFormat="1" applyBorder="1"/>
    <xf numFmtId="6" fontId="0" fillId="0" borderId="8" xfId="0" applyNumberFormat="1" applyBorder="1"/>
    <xf numFmtId="0" fontId="7" fillId="0" borderId="9" xfId="0" applyFont="1" applyBorder="1"/>
    <xf numFmtId="44" fontId="7" fillId="0" borderId="10" xfId="0" applyNumberFormat="1" applyFont="1" applyBorder="1"/>
    <xf numFmtId="44" fontId="7" fillId="0" borderId="11" xfId="0" applyNumberFormat="1" applyFont="1" applyBorder="1"/>
    <xf numFmtId="44" fontId="0" fillId="0" borderId="8" xfId="1" applyFont="1" applyBorder="1"/>
    <xf numFmtId="44" fontId="8" fillId="0" borderId="1" xfId="1" applyFont="1" applyFill="1" applyBorder="1"/>
    <xf numFmtId="0" fontId="12" fillId="0" borderId="7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44" fontId="12" fillId="0" borderId="1" xfId="1" applyFont="1" applyBorder="1"/>
    <xf numFmtId="0" fontId="12" fillId="0" borderId="1" xfId="1" applyNumberFormat="1" applyFont="1" applyBorder="1"/>
    <xf numFmtId="44" fontId="12" fillId="0" borderId="1" xfId="1" applyFont="1" applyFill="1" applyBorder="1"/>
    <xf numFmtId="0" fontId="12" fillId="0" borderId="1" xfId="1" applyNumberFormat="1" applyFont="1" applyFill="1" applyBorder="1"/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8" fontId="12" fillId="0" borderId="1" xfId="0" applyNumberFormat="1" applyFont="1" applyBorder="1"/>
    <xf numFmtId="0" fontId="12" fillId="0" borderId="1" xfId="0" applyFont="1" applyBorder="1" applyAlignment="1">
      <alignment horizontal="left" indent="1"/>
    </xf>
    <xf numFmtId="44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44" fontId="12" fillId="0" borderId="1" xfId="1" applyFont="1" applyFill="1" applyBorder="1" applyAlignment="1">
      <alignment horizontal="left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right"/>
    </xf>
    <xf numFmtId="44" fontId="12" fillId="4" borderId="1" xfId="1" applyFont="1" applyFill="1" applyBorder="1"/>
    <xf numFmtId="0" fontId="4" fillId="6" borderId="9" xfId="0" applyFont="1" applyFill="1" applyBorder="1" applyAlignment="1">
      <alignment horizontal="center" wrapText="1"/>
    </xf>
    <xf numFmtId="44" fontId="4" fillId="6" borderId="10" xfId="1" applyFont="1" applyFill="1" applyBorder="1"/>
    <xf numFmtId="0" fontId="4" fillId="6" borderId="10" xfId="0" applyFont="1" applyFill="1" applyBorder="1" applyAlignment="1">
      <alignment horizontal="center" wrapText="1"/>
    </xf>
    <xf numFmtId="44" fontId="4" fillId="6" borderId="10" xfId="1" applyFont="1" applyFill="1" applyBorder="1" applyAlignment="1">
      <alignment horizontal="center" wrapText="1"/>
    </xf>
    <xf numFmtId="44" fontId="4" fillId="6" borderId="10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4" fontId="4" fillId="0" borderId="5" xfId="1" applyFont="1" applyBorder="1" applyAlignment="1">
      <alignment horizontal="center" wrapText="1"/>
    </xf>
    <xf numFmtId="0" fontId="12" fillId="0" borderId="1" xfId="0" applyFont="1" applyBorder="1" applyAlignment="1">
      <alignment horizontal="right" indent="1"/>
    </xf>
    <xf numFmtId="14" fontId="3" fillId="0" borderId="1" xfId="0" applyNumberFormat="1" applyFont="1" applyBorder="1"/>
    <xf numFmtId="0" fontId="13" fillId="0" borderId="7" xfId="0" applyFont="1" applyBorder="1"/>
    <xf numFmtId="14" fontId="12" fillId="0" borderId="1" xfId="0" applyNumberFormat="1" applyFont="1" applyBorder="1"/>
    <xf numFmtId="0" fontId="14" fillId="0" borderId="7" xfId="0" applyFont="1" applyBorder="1"/>
    <xf numFmtId="14" fontId="12" fillId="0" borderId="1" xfId="0" applyNumberFormat="1" applyFont="1" applyBorder="1" applyAlignment="1">
      <alignment horizontal="right"/>
    </xf>
    <xf numFmtId="14" fontId="12" fillId="4" borderId="1" xfId="0" applyNumberFormat="1" applyFont="1" applyFill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4" fontId="3" fillId="4" borderId="1" xfId="0" applyNumberFormat="1" applyFont="1" applyFill="1" applyBorder="1"/>
    <xf numFmtId="0" fontId="0" fillId="0" borderId="1" xfId="0" applyBorder="1"/>
    <xf numFmtId="165" fontId="10" fillId="0" borderId="1" xfId="0" applyNumberFormat="1" applyFont="1" applyBorder="1"/>
    <xf numFmtId="165" fontId="0" fillId="0" borderId="1" xfId="0" applyNumberFormat="1" applyBorder="1"/>
    <xf numFmtId="165" fontId="11" fillId="0" borderId="1" xfId="0" applyNumberFormat="1" applyFont="1" applyBorder="1"/>
    <xf numFmtId="165" fontId="11" fillId="0" borderId="2" xfId="0" applyNumberFormat="1" applyFont="1" applyBorder="1"/>
    <xf numFmtId="165" fontId="12" fillId="0" borderId="1" xfId="0" applyNumberFormat="1" applyFont="1" applyBorder="1"/>
    <xf numFmtId="165" fontId="12" fillId="0" borderId="2" xfId="0" applyNumberFormat="1" applyFont="1" applyBorder="1"/>
    <xf numFmtId="0" fontId="4" fillId="0" borderId="7" xfId="0" applyFont="1" applyBorder="1"/>
    <xf numFmtId="165" fontId="4" fillId="0" borderId="1" xfId="0" applyNumberFormat="1" applyFont="1" applyBorder="1"/>
    <xf numFmtId="165" fontId="4" fillId="0" borderId="2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right"/>
    </xf>
    <xf numFmtId="165" fontId="12" fillId="0" borderId="1" xfId="1" applyNumberFormat="1" applyFont="1" applyBorder="1"/>
    <xf numFmtId="165" fontId="14" fillId="0" borderId="2" xfId="0" applyNumberFormat="1" applyFont="1" applyBorder="1"/>
    <xf numFmtId="165" fontId="14" fillId="0" borderId="1" xfId="0" applyNumberFormat="1" applyFont="1" applyBorder="1"/>
    <xf numFmtId="1" fontId="4" fillId="2" borderId="1" xfId="0" applyNumberFormat="1" applyFont="1" applyFill="1" applyBorder="1" applyAlignment="1">
      <alignment horizontal="center"/>
    </xf>
    <xf numFmtId="1" fontId="12" fillId="0" borderId="1" xfId="0" applyNumberFormat="1" applyFont="1" applyBorder="1"/>
    <xf numFmtId="1" fontId="4" fillId="0" borderId="3" xfId="0" applyNumberFormat="1" applyFont="1" applyBorder="1"/>
    <xf numFmtId="165" fontId="15" fillId="0" borderId="2" xfId="0" applyNumberFormat="1" applyFont="1" applyBorder="1"/>
    <xf numFmtId="165" fontId="15" fillId="0" borderId="1" xfId="0" applyNumberFormat="1" applyFont="1" applyBorder="1"/>
    <xf numFmtId="165" fontId="15" fillId="2" borderId="1" xfId="0" applyNumberFormat="1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horizontal="center"/>
      <protection locked="0"/>
    </xf>
    <xf numFmtId="165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5" fontId="15" fillId="2" borderId="1" xfId="1" applyNumberFormat="1" applyFont="1" applyFill="1" applyBorder="1"/>
    <xf numFmtId="0" fontId="12" fillId="0" borderId="7" xfId="0" applyFont="1" applyBorder="1" applyProtection="1">
      <protection locked="0"/>
    </xf>
    <xf numFmtId="165" fontId="12" fillId="0" borderId="3" xfId="0" applyNumberFormat="1" applyFont="1" applyBorder="1" applyProtection="1">
      <protection locked="0"/>
    </xf>
    <xf numFmtId="1" fontId="12" fillId="0" borderId="1" xfId="1" applyNumberFormat="1" applyFont="1" applyBorder="1"/>
    <xf numFmtId="165" fontId="14" fillId="0" borderId="1" xfId="1" applyNumberFormat="1" applyFont="1" applyFill="1" applyBorder="1" applyProtection="1">
      <protection locked="0"/>
    </xf>
    <xf numFmtId="1" fontId="4" fillId="0" borderId="1" xfId="0" applyNumberFormat="1" applyFont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4" fontId="4" fillId="2" borderId="5" xfId="1" applyFont="1" applyFill="1" applyBorder="1" applyAlignment="1">
      <alignment horizontal="center"/>
    </xf>
    <xf numFmtId="14" fontId="12" fillId="0" borderId="3" xfId="0" applyNumberFormat="1" applyFont="1" applyBorder="1" applyProtection="1">
      <protection locked="0"/>
    </xf>
    <xf numFmtId="14" fontId="9" fillId="0" borderId="1" xfId="2" applyNumberFormat="1" applyFont="1" applyFill="1" applyBorder="1" applyAlignment="1" applyProtection="1"/>
    <xf numFmtId="1" fontId="12" fillId="0" borderId="2" xfId="0" applyNumberFormat="1" applyFont="1" applyBorder="1"/>
    <xf numFmtId="1" fontId="14" fillId="0" borderId="2" xfId="0" applyNumberFormat="1" applyFont="1" applyBorder="1"/>
    <xf numFmtId="165" fontId="16" fillId="0" borderId="2" xfId="0" applyNumberFormat="1" applyFont="1" applyBorder="1"/>
    <xf numFmtId="165" fontId="16" fillId="0" borderId="1" xfId="0" applyNumberFormat="1" applyFont="1" applyBorder="1"/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44" fontId="4" fillId="2" borderId="5" xfId="1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44" fontId="14" fillId="0" borderId="1" xfId="1" applyFont="1" applyBorder="1"/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4" fontId="14" fillId="2" borderId="1" xfId="1" applyFont="1" applyFill="1" applyBorder="1"/>
    <xf numFmtId="44" fontId="14" fillId="2" borderId="8" xfId="1" applyFont="1" applyFill="1" applyBorder="1" applyProtection="1">
      <protection locked="0"/>
    </xf>
    <xf numFmtId="44" fontId="12" fillId="0" borderId="1" xfId="0" applyNumberFormat="1" applyFont="1" applyBorder="1"/>
    <xf numFmtId="44" fontId="12" fillId="0" borderId="1" xfId="0" applyNumberFormat="1" applyFont="1" applyBorder="1" applyAlignment="1" applyProtection="1">
      <alignment horizontal="center"/>
      <protection locked="0"/>
    </xf>
    <xf numFmtId="164" fontId="12" fillId="0" borderId="1" xfId="1" applyNumberFormat="1" applyFont="1" applyFill="1" applyBorder="1" applyAlignment="1" applyProtection="1">
      <alignment horizontal="right"/>
      <protection locked="0"/>
    </xf>
    <xf numFmtId="44" fontId="12" fillId="0" borderId="1" xfId="0" applyNumberFormat="1" applyFont="1" applyBorder="1" applyProtection="1">
      <protection locked="0"/>
    </xf>
    <xf numFmtId="44" fontId="12" fillId="0" borderId="8" xfId="0" applyNumberFormat="1" applyFont="1" applyBorder="1"/>
    <xf numFmtId="164" fontId="12" fillId="0" borderId="1" xfId="1" applyNumberFormat="1" applyFont="1" applyFill="1" applyBorder="1" applyProtection="1">
      <protection locked="0"/>
    </xf>
    <xf numFmtId="0" fontId="14" fillId="0" borderId="7" xfId="0" applyFont="1" applyBorder="1" applyProtection="1">
      <protection locked="0"/>
    </xf>
    <xf numFmtId="14" fontId="14" fillId="0" borderId="3" xfId="0" applyNumberFormat="1" applyFont="1" applyBorder="1" applyProtection="1">
      <protection locked="0"/>
    </xf>
    <xf numFmtId="44" fontId="12" fillId="2" borderId="1" xfId="1" applyFont="1" applyFill="1" applyBorder="1"/>
    <xf numFmtId="0" fontId="12" fillId="0" borderId="1" xfId="0" applyFont="1" applyBorder="1" applyProtection="1">
      <protection locked="0"/>
    </xf>
    <xf numFmtId="14" fontId="12" fillId="0" borderId="3" xfId="0" applyNumberFormat="1" applyFont="1" applyBorder="1"/>
    <xf numFmtId="44" fontId="12" fillId="0" borderId="1" xfId="0" applyNumberFormat="1" applyFont="1" applyBorder="1" applyAlignment="1">
      <alignment horizontal="center"/>
    </xf>
    <xf numFmtId="14" fontId="17" fillId="0" borderId="3" xfId="2" applyNumberFormat="1" applyFont="1" applyFill="1" applyBorder="1" applyAlignment="1" applyProtection="1">
      <alignment horizontal="right"/>
      <protection locked="0"/>
    </xf>
    <xf numFmtId="44" fontId="12" fillId="2" borderId="8" xfId="1" applyFont="1" applyFill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44" fontId="12" fillId="0" borderId="1" xfId="1" applyFont="1" applyBorder="1" applyProtection="1">
      <protection locked="0"/>
    </xf>
    <xf numFmtId="0" fontId="12" fillId="0" borderId="1" xfId="1" applyNumberFormat="1" applyFont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17" xfId="0" applyFont="1" applyFill="1" applyBorder="1" applyProtection="1">
      <protection locked="0"/>
    </xf>
    <xf numFmtId="44" fontId="4" fillId="6" borderId="10" xfId="0" applyNumberFormat="1" applyFont="1" applyFill="1" applyBorder="1"/>
    <xf numFmtId="0" fontId="4" fillId="6" borderId="10" xfId="0" applyFont="1" applyFill="1" applyBorder="1"/>
    <xf numFmtId="44" fontId="4" fillId="6" borderId="11" xfId="0" applyNumberFormat="1" applyFont="1" applyFill="1" applyBorder="1"/>
    <xf numFmtId="1" fontId="12" fillId="0" borderId="3" xfId="0" applyNumberFormat="1" applyFont="1" applyBorder="1"/>
    <xf numFmtId="14" fontId="12" fillId="0" borderId="2" xfId="0" applyNumberFormat="1" applyFont="1" applyBorder="1"/>
    <xf numFmtId="8" fontId="6" fillId="2" borderId="1" xfId="1" applyNumberFormat="1" applyFont="1" applyFill="1" applyBorder="1"/>
    <xf numFmtId="44" fontId="6" fillId="2" borderId="1" xfId="0" applyNumberFormat="1" applyFont="1" applyFill="1" applyBorder="1"/>
    <xf numFmtId="44" fontId="6" fillId="2" borderId="1" xfId="1" applyFont="1" applyFill="1" applyBorder="1"/>
    <xf numFmtId="44" fontId="6" fillId="3" borderId="1" xfId="1" applyFont="1" applyFill="1" applyBorder="1"/>
    <xf numFmtId="9" fontId="3" fillId="0" borderId="1" xfId="1" applyNumberFormat="1" applyFont="1" applyBorder="1"/>
    <xf numFmtId="0" fontId="0" fillId="0" borderId="0" xfId="0" applyAlignment="1">
      <alignment horizontal="center"/>
    </xf>
    <xf numFmtId="0" fontId="12" fillId="0" borderId="3" xfId="0" applyFont="1" applyBorder="1"/>
    <xf numFmtId="9" fontId="3" fillId="0" borderId="1" xfId="1" applyNumberFormat="1" applyFont="1" applyFill="1" applyBorder="1"/>
    <xf numFmtId="9" fontId="3" fillId="0" borderId="1" xfId="3" applyFont="1" applyBorder="1"/>
    <xf numFmtId="166" fontId="3" fillId="0" borderId="1" xfId="1" applyNumberFormat="1" applyFont="1" applyFill="1" applyBorder="1"/>
    <xf numFmtId="44" fontId="3" fillId="2" borderId="1" xfId="1" applyFont="1" applyFill="1" applyBorder="1"/>
    <xf numFmtId="0" fontId="9" fillId="0" borderId="1" xfId="2" applyNumberFormat="1" applyFont="1" applyFill="1" applyBorder="1" applyAlignment="1" applyProtection="1">
      <alignment horizontal="left" wrapText="1"/>
    </xf>
    <xf numFmtId="44" fontId="0" fillId="0" borderId="19" xfId="0" applyNumberFormat="1" applyBorder="1"/>
    <xf numFmtId="44" fontId="0" fillId="0" borderId="19" xfId="0" applyNumberFormat="1" applyBorder="1" applyAlignment="1">
      <alignment vertical="center"/>
    </xf>
    <xf numFmtId="44" fontId="10" fillId="0" borderId="19" xfId="0" applyNumberFormat="1" applyFont="1" applyBorder="1"/>
    <xf numFmtId="44" fontId="0" fillId="0" borderId="0" xfId="0" applyNumberFormat="1"/>
    <xf numFmtId="44" fontId="5" fillId="0" borderId="19" xfId="0" applyNumberFormat="1" applyFont="1" applyBorder="1"/>
    <xf numFmtId="0" fontId="0" fillId="0" borderId="0" xfId="0" applyAlignment="1">
      <alignment horizontal="left"/>
    </xf>
    <xf numFmtId="0" fontId="12" fillId="3" borderId="1" xfId="0" applyFont="1" applyFill="1" applyBorder="1"/>
    <xf numFmtId="14" fontId="12" fillId="3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right" indent="1"/>
    </xf>
    <xf numFmtId="44" fontId="12" fillId="3" borderId="1" xfId="1" applyFont="1" applyFill="1" applyBorder="1"/>
    <xf numFmtId="0" fontId="12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44" fontId="6" fillId="3" borderId="12" xfId="1" applyFont="1" applyFill="1" applyBorder="1"/>
    <xf numFmtId="44" fontId="8" fillId="2" borderId="12" xfId="1" applyFont="1" applyFill="1" applyBorder="1"/>
    <xf numFmtId="0" fontId="3" fillId="0" borderId="7" xfId="0" applyFont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14" fontId="3" fillId="0" borderId="1" xfId="0" applyNumberFormat="1" applyFont="1" applyBorder="1" applyProtection="1">
      <protection locked="0"/>
    </xf>
    <xf numFmtId="0" fontId="3" fillId="0" borderId="12" xfId="0" applyFont="1" applyBorder="1"/>
    <xf numFmtId="9" fontId="3" fillId="0" borderId="1" xfId="0" applyNumberFormat="1" applyFont="1" applyBorder="1"/>
    <xf numFmtId="9" fontId="8" fillId="0" borderId="1" xfId="0" applyNumberFormat="1" applyFont="1" applyBorder="1" applyAlignment="1">
      <alignment horizontal="right"/>
    </xf>
    <xf numFmtId="1" fontId="8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3" fillId="0" borderId="0" xfId="0" applyFont="1"/>
    <xf numFmtId="0" fontId="0" fillId="8" borderId="21" xfId="0" applyFill="1" applyBorder="1"/>
    <xf numFmtId="0" fontId="10" fillId="0" borderId="7" xfId="0" applyFont="1" applyBorder="1"/>
    <xf numFmtId="0" fontId="17" fillId="0" borderId="7" xfId="2" applyNumberFormat="1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12" fillId="2" borderId="3" xfId="0" applyFont="1" applyFill="1" applyBorder="1"/>
    <xf numFmtId="14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right" indent="1"/>
    </xf>
    <xf numFmtId="0" fontId="12" fillId="2" borderId="1" xfId="0" applyFont="1" applyFill="1" applyBorder="1" applyAlignment="1">
      <alignment horizontal="right"/>
    </xf>
    <xf numFmtId="44" fontId="1" fillId="4" borderId="22" xfId="1" applyFont="1" applyFill="1" applyBorder="1"/>
    <xf numFmtId="9" fontId="4" fillId="2" borderId="1" xfId="0" applyNumberFormat="1" applyFont="1" applyFill="1" applyBorder="1" applyAlignment="1">
      <alignment horizontal="center"/>
    </xf>
    <xf numFmtId="9" fontId="4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4" fontId="3" fillId="0" borderId="1" xfId="0" applyNumberFormat="1" applyFont="1" applyBorder="1" applyAlignment="1">
      <alignment horizontal="center"/>
    </xf>
    <xf numFmtId="0" fontId="4" fillId="0" borderId="6" xfId="0" applyFont="1" applyBorder="1" applyAlignment="1" applyProtection="1">
      <alignment horizontal="center" wrapText="1"/>
      <protection locked="0"/>
    </xf>
    <xf numFmtId="44" fontId="14" fillId="0" borderId="8" xfId="1" applyFont="1" applyFill="1" applyBorder="1" applyProtection="1">
      <protection locked="0"/>
    </xf>
    <xf numFmtId="44" fontId="12" fillId="0" borderId="8" xfId="1" applyFont="1" applyFill="1" applyBorder="1" applyProtection="1">
      <protection locked="0"/>
    </xf>
    <xf numFmtId="44" fontId="4" fillId="0" borderId="11" xfId="0" applyNumberFormat="1" applyFont="1" applyBorder="1"/>
    <xf numFmtId="0" fontId="4" fillId="2" borderId="1" xfId="1" applyNumberFormat="1" applyFont="1" applyFill="1" applyBorder="1" applyAlignment="1">
      <alignment horizontal="center"/>
    </xf>
    <xf numFmtId="0" fontId="3" fillId="0" borderId="7" xfId="0" applyFont="1" applyBorder="1" applyAlignment="1" applyProtection="1">
      <alignment wrapText="1"/>
      <protection locked="0"/>
    </xf>
    <xf numFmtId="165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167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8" fillId="9" borderId="5" xfId="0" applyFont="1" applyFill="1" applyBorder="1" applyAlignment="1">
      <alignment horizontal="center" wrapText="1"/>
    </xf>
    <xf numFmtId="44" fontId="3" fillId="9" borderId="1" xfId="1" applyFont="1" applyFill="1" applyBorder="1"/>
    <xf numFmtId="0" fontId="6" fillId="9" borderId="10" xfId="0" applyFont="1" applyFill="1" applyBorder="1" applyAlignment="1">
      <alignment horizontal="center" wrapText="1"/>
    </xf>
    <xf numFmtId="9" fontId="3" fillId="9" borderId="1" xfId="1" applyNumberFormat="1" applyFont="1" applyFill="1" applyBorder="1"/>
    <xf numFmtId="0" fontId="6" fillId="0" borderId="10" xfId="0" applyFont="1" applyBorder="1" applyAlignment="1">
      <alignment horizontal="center" wrapText="1"/>
    </xf>
    <xf numFmtId="44" fontId="8" fillId="0" borderId="18" xfId="0" applyNumberFormat="1" applyFont="1" applyBorder="1" applyAlignment="1">
      <alignment wrapText="1"/>
    </xf>
    <xf numFmtId="9" fontId="12" fillId="0" borderId="1" xfId="1" applyNumberFormat="1" applyFont="1" applyBorder="1"/>
    <xf numFmtId="0" fontId="4" fillId="9" borderId="5" xfId="0" applyFont="1" applyFill="1" applyBorder="1" applyAlignment="1">
      <alignment horizontal="center" wrapText="1"/>
    </xf>
    <xf numFmtId="9" fontId="4" fillId="2" borderId="1" xfId="0" applyNumberFormat="1" applyFont="1" applyFill="1" applyBorder="1" applyAlignment="1">
      <alignment horizontal="center" wrapText="1"/>
    </xf>
    <xf numFmtId="44" fontId="5" fillId="9" borderId="1" xfId="1" applyFont="1" applyFill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9" fontId="4" fillId="0" borderId="1" xfId="1" applyNumberFormat="1" applyFont="1" applyFill="1" applyBorder="1" applyAlignment="1">
      <alignment horizontal="center"/>
    </xf>
    <xf numFmtId="9" fontId="12" fillId="2" borderId="1" xfId="0" applyNumberFormat="1" applyFont="1" applyFill="1" applyBorder="1" applyAlignment="1">
      <alignment horizontal="center"/>
    </xf>
    <xf numFmtId="9" fontId="12" fillId="0" borderId="1" xfId="0" applyNumberFormat="1" applyFont="1" applyBorder="1" applyAlignment="1">
      <alignment horizontal="center" wrapText="1"/>
    </xf>
    <xf numFmtId="44" fontId="12" fillId="0" borderId="1" xfId="0" applyNumberFormat="1" applyFont="1" applyBorder="1" applyAlignment="1">
      <alignment horizontal="center" wrapText="1"/>
    </xf>
    <xf numFmtId="9" fontId="12" fillId="0" borderId="1" xfId="1" applyNumberFormat="1" applyFont="1" applyFill="1" applyBorder="1"/>
    <xf numFmtId="44" fontId="4" fillId="0" borderId="18" xfId="0" applyNumberFormat="1" applyFont="1" applyBorder="1" applyAlignment="1">
      <alignment wrapText="1"/>
    </xf>
    <xf numFmtId="0" fontId="4" fillId="0" borderId="1" xfId="1" applyNumberFormat="1" applyFont="1" applyFill="1" applyBorder="1" applyAlignment="1">
      <alignment horizontal="center"/>
    </xf>
    <xf numFmtId="9" fontId="0" fillId="0" borderId="12" xfId="0" applyNumberFormat="1" applyBorder="1"/>
    <xf numFmtId="44" fontId="0" fillId="0" borderId="12" xfId="0" applyNumberFormat="1" applyBorder="1"/>
    <xf numFmtId="0" fontId="0" fillId="3" borderId="12" xfId="0" applyFill="1" applyBorder="1"/>
    <xf numFmtId="0" fontId="5" fillId="6" borderId="9" xfId="0" applyFont="1" applyFill="1" applyBorder="1"/>
    <xf numFmtId="44" fontId="0" fillId="0" borderId="13" xfId="0" applyNumberFormat="1" applyBorder="1"/>
    <xf numFmtId="0" fontId="0" fillId="3" borderId="13" xfId="0" applyFill="1" applyBorder="1"/>
    <xf numFmtId="44" fontId="14" fillId="2" borderId="2" xfId="1" applyFont="1" applyFill="1" applyBorder="1" applyProtection="1">
      <protection locked="0"/>
    </xf>
    <xf numFmtId="0" fontId="5" fillId="3" borderId="23" xfId="0" applyFont="1" applyFill="1" applyBorder="1" applyAlignment="1">
      <alignment wrapText="1"/>
    </xf>
    <xf numFmtId="0" fontId="5" fillId="3" borderId="24" xfId="0" applyFont="1" applyFill="1" applyBorder="1" applyAlignment="1">
      <alignment wrapText="1"/>
    </xf>
    <xf numFmtId="9" fontId="0" fillId="0" borderId="21" xfId="0" applyNumberFormat="1" applyBorder="1"/>
    <xf numFmtId="44" fontId="0" fillId="0" borderId="21" xfId="0" applyNumberFormat="1" applyBorder="1"/>
    <xf numFmtId="44" fontId="0" fillId="0" borderId="20" xfId="0" applyNumberFormat="1" applyBorder="1"/>
    <xf numFmtId="0" fontId="0" fillId="3" borderId="2" xfId="0" applyFill="1" applyBorder="1"/>
    <xf numFmtId="10" fontId="12" fillId="0" borderId="1" xfId="0" applyNumberFormat="1" applyFont="1" applyBorder="1"/>
    <xf numFmtId="10" fontId="4" fillId="0" borderId="1" xfId="0" applyNumberFormat="1" applyFont="1" applyBorder="1"/>
    <xf numFmtId="10" fontId="4" fillId="2" borderId="1" xfId="0" applyNumberFormat="1" applyFont="1" applyFill="1" applyBorder="1" applyAlignment="1">
      <alignment horizontal="center"/>
    </xf>
    <xf numFmtId="10" fontId="15" fillId="0" borderId="1" xfId="0" applyNumberFormat="1" applyFont="1" applyBorder="1"/>
    <xf numFmtId="10" fontId="16" fillId="0" borderId="1" xfId="0" applyNumberFormat="1" applyFont="1" applyBorder="1"/>
    <xf numFmtId="10" fontId="0" fillId="0" borderId="1" xfId="0" applyNumberFormat="1" applyBorder="1"/>
    <xf numFmtId="44" fontId="12" fillId="0" borderId="19" xfId="0" applyNumberFormat="1" applyFont="1" applyBorder="1"/>
    <xf numFmtId="44" fontId="12" fillId="0" borderId="21" xfId="0" applyNumberFormat="1" applyFont="1" applyBorder="1"/>
    <xf numFmtId="7" fontId="12" fillId="0" borderId="1" xfId="0" applyNumberFormat="1" applyFont="1" applyBorder="1"/>
    <xf numFmtId="14" fontId="3" fillId="0" borderId="2" xfId="0" applyNumberFormat="1" applyFont="1" applyBorder="1"/>
    <xf numFmtId="44" fontId="5" fillId="3" borderId="1" xfId="1" applyFont="1" applyFill="1" applyBorder="1"/>
    <xf numFmtId="44" fontId="5" fillId="0" borderId="19" xfId="1" applyFont="1" applyFill="1" applyBorder="1"/>
    <xf numFmtId="0" fontId="3" fillId="0" borderId="14" xfId="0" applyFont="1" applyBorder="1"/>
    <xf numFmtId="0" fontId="10" fillId="0" borderId="1" xfId="0" applyFont="1" applyBorder="1"/>
    <xf numFmtId="9" fontId="3" fillId="3" borderId="1" xfId="1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9" fontId="3" fillId="3" borderId="1" xfId="0" applyNumberFormat="1" applyFont="1" applyFill="1" applyBorder="1" applyAlignment="1">
      <alignment horizontal="right"/>
    </xf>
    <xf numFmtId="44" fontId="8" fillId="2" borderId="2" xfId="1" applyFont="1" applyFill="1" applyBorder="1"/>
    <xf numFmtId="44" fontId="3" fillId="0" borderId="2" xfId="1" applyFont="1" applyFill="1" applyBorder="1"/>
    <xf numFmtId="0" fontId="6" fillId="6" borderId="25" xfId="0" applyFont="1" applyFill="1" applyBorder="1" applyAlignment="1">
      <alignment horizontal="center" wrapText="1"/>
    </xf>
    <xf numFmtId="44" fontId="3" fillId="0" borderId="19" xfId="0" applyNumberFormat="1" applyFont="1" applyBorder="1"/>
    <xf numFmtId="0" fontId="0" fillId="0" borderId="26" xfId="0" applyBorder="1"/>
    <xf numFmtId="44" fontId="3" fillId="3" borderId="1" xfId="0" applyNumberFormat="1" applyFont="1" applyFill="1" applyBorder="1" applyAlignment="1">
      <alignment horizontal="right"/>
    </xf>
    <xf numFmtId="43" fontId="3" fillId="3" borderId="1" xfId="1" applyNumberFormat="1" applyFont="1" applyFill="1" applyBorder="1" applyAlignment="1">
      <alignment horizontal="right"/>
    </xf>
    <xf numFmtId="43" fontId="3" fillId="2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horizontal="center"/>
    </xf>
    <xf numFmtId="44" fontId="4" fillId="9" borderId="1" xfId="1" applyFont="1" applyFill="1" applyBorder="1"/>
    <xf numFmtId="9" fontId="3" fillId="2" borderId="1" xfId="1" applyNumberFormat="1" applyFont="1" applyFill="1" applyBorder="1"/>
    <xf numFmtId="9" fontId="3" fillId="3" borderId="1" xfId="1" applyNumberFormat="1" applyFont="1" applyFill="1" applyBorder="1"/>
    <xf numFmtId="44" fontId="3" fillId="3" borderId="1" xfId="1" applyFont="1" applyFill="1" applyBorder="1"/>
    <xf numFmtId="9" fontId="8" fillId="3" borderId="1" xfId="0" applyNumberFormat="1" applyFont="1" applyFill="1" applyBorder="1" applyAlignment="1">
      <alignment horizontal="right"/>
    </xf>
    <xf numFmtId="44" fontId="3" fillId="3" borderId="1" xfId="0" applyNumberFormat="1" applyFont="1" applyFill="1" applyBorder="1" applyAlignment="1">
      <alignment horizontal="center"/>
    </xf>
    <xf numFmtId="44" fontId="20" fillId="0" borderId="19" xfId="0" applyNumberFormat="1" applyFont="1" applyBorder="1"/>
    <xf numFmtId="0" fontId="14" fillId="0" borderId="0" xfId="0" applyFont="1"/>
    <xf numFmtId="44" fontId="12" fillId="0" borderId="1" xfId="0" applyNumberFormat="1" applyFont="1" applyBorder="1" applyAlignment="1">
      <alignment horizontal="right" wrapText="1"/>
    </xf>
    <xf numFmtId="44" fontId="12" fillId="2" borderId="1" xfId="0" applyNumberFormat="1" applyFont="1" applyFill="1" applyBorder="1" applyAlignment="1">
      <alignment horizontal="center"/>
    </xf>
    <xf numFmtId="0" fontId="12" fillId="5" borderId="14" xfId="0" applyFont="1" applyFill="1" applyBorder="1" applyAlignment="1">
      <alignment horizontal="left" vertical="top"/>
    </xf>
    <xf numFmtId="0" fontId="12" fillId="5" borderId="12" xfId="0" applyFont="1" applyFill="1" applyBorder="1" applyAlignment="1">
      <alignment horizontal="left" vertical="top"/>
    </xf>
    <xf numFmtId="0" fontId="4" fillId="5" borderId="14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3F3F"/>
      <color rgb="FFABDB77"/>
      <color rgb="FFFF7575"/>
      <color rgb="FFFFCC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"/>
  <sheetViews>
    <sheetView view="pageLayout" topLeftCell="A17" zoomScale="110" zoomScaleNormal="125" zoomScalePageLayoutView="110" workbookViewId="0">
      <selection activeCell="N38" sqref="N38:O43"/>
    </sheetView>
  </sheetViews>
  <sheetFormatPr defaultColWidth="9.140625" defaultRowHeight="15" x14ac:dyDescent="0.25"/>
  <cols>
    <col min="1" max="1" width="18.7109375" customWidth="1"/>
    <col min="2" max="2" width="10.28515625" customWidth="1"/>
    <col min="3" max="3" width="8.42578125" customWidth="1"/>
    <col min="4" max="4" width="7.140625" hidden="1" customWidth="1"/>
    <col min="5" max="5" width="8.140625" hidden="1" customWidth="1"/>
    <col min="6" max="6" width="6.5703125" hidden="1" customWidth="1"/>
    <col min="7" max="7" width="5.28515625" hidden="1" customWidth="1"/>
    <col min="8" max="8" width="6" hidden="1" customWidth="1"/>
    <col min="9" max="9" width="5.140625" hidden="1" customWidth="1"/>
    <col min="10" max="10" width="7.140625" hidden="1" customWidth="1"/>
    <col min="11" max="11" width="2.7109375" hidden="1" customWidth="1"/>
    <col min="12" max="12" width="8.42578125" customWidth="1"/>
    <col min="13" max="13" width="7.140625" customWidth="1"/>
    <col min="14" max="14" width="8.42578125" customWidth="1"/>
    <col min="15" max="15" width="5.85546875" customWidth="1"/>
    <col min="16" max="16" width="11.5703125" customWidth="1"/>
    <col min="17" max="17" width="11.7109375" customWidth="1"/>
    <col min="18" max="18" width="6.85546875" hidden="1" customWidth="1"/>
    <col min="19" max="19" width="6.5703125" hidden="1" customWidth="1"/>
    <col min="20" max="20" width="12" hidden="1" customWidth="1"/>
    <col min="21" max="23" width="6.28515625" hidden="1" customWidth="1"/>
    <col min="24" max="24" width="7.140625" hidden="1" customWidth="1"/>
    <col min="25" max="25" width="11.5703125" style="206" customWidth="1"/>
    <col min="28" max="28" width="9.140625" customWidth="1"/>
  </cols>
  <sheetData>
    <row r="1" spans="1:25" ht="36.75" customHeight="1" thickBot="1" x14ac:dyDescent="0.3">
      <c r="A1" s="36" t="s">
        <v>56</v>
      </c>
      <c r="B1" s="37" t="s">
        <v>37</v>
      </c>
      <c r="C1" s="37" t="s">
        <v>171</v>
      </c>
      <c r="D1" s="37" t="s">
        <v>44</v>
      </c>
      <c r="E1" s="37" t="s">
        <v>43</v>
      </c>
      <c r="F1" s="38" t="s">
        <v>166</v>
      </c>
      <c r="G1" s="37" t="s">
        <v>38</v>
      </c>
      <c r="H1" s="37" t="s">
        <v>39</v>
      </c>
      <c r="I1" s="37" t="s">
        <v>38</v>
      </c>
      <c r="J1" s="37" t="s">
        <v>170</v>
      </c>
      <c r="K1" s="37" t="s">
        <v>38</v>
      </c>
      <c r="L1" s="37" t="s">
        <v>272</v>
      </c>
      <c r="M1" s="255" t="s">
        <v>267</v>
      </c>
      <c r="N1" s="255" t="s">
        <v>271</v>
      </c>
      <c r="O1" s="37" t="s">
        <v>131</v>
      </c>
      <c r="P1" s="37" t="s">
        <v>151</v>
      </c>
      <c r="Q1" s="37" t="s">
        <v>268</v>
      </c>
      <c r="R1" s="37" t="s">
        <v>63</v>
      </c>
      <c r="S1" s="39">
        <v>1</v>
      </c>
      <c r="T1" s="39">
        <v>2</v>
      </c>
      <c r="U1" s="39">
        <v>3</v>
      </c>
      <c r="V1" s="39">
        <v>4</v>
      </c>
      <c r="W1" s="39">
        <v>5</v>
      </c>
      <c r="X1" s="40" t="s">
        <v>64</v>
      </c>
      <c r="Y1" s="260" t="s">
        <v>281</v>
      </c>
    </row>
    <row r="2" spans="1:25" ht="13.5" customHeight="1" x14ac:dyDescent="0.25">
      <c r="A2" s="41" t="s">
        <v>57</v>
      </c>
      <c r="B2" s="3"/>
      <c r="C2" s="3"/>
      <c r="D2" s="3"/>
      <c r="E2" s="3"/>
      <c r="F2" s="4"/>
      <c r="G2" s="3"/>
      <c r="H2" s="3"/>
      <c r="I2" s="3"/>
      <c r="J2" s="219"/>
      <c r="K2" s="3"/>
      <c r="L2" s="12">
        <v>17</v>
      </c>
      <c r="M2" s="321"/>
      <c r="N2" s="322"/>
      <c r="O2" s="3"/>
      <c r="P2" s="3"/>
      <c r="Q2" s="3"/>
      <c r="R2" s="191">
        <v>16.829999999999998</v>
      </c>
      <c r="S2" s="5">
        <f>R2*1.02</f>
        <v>17.166599999999999</v>
      </c>
      <c r="T2" s="5">
        <f>S2*1.02</f>
        <v>17.509931999999999</v>
      </c>
      <c r="U2" s="5">
        <f>T2*1.02</f>
        <v>17.860130639999998</v>
      </c>
      <c r="V2" s="5">
        <f>U2*1.02</f>
        <v>18.2173332528</v>
      </c>
      <c r="W2" s="5">
        <f>V2*1.02</f>
        <v>18.581679917856</v>
      </c>
      <c r="X2" s="42"/>
      <c r="Y2" s="302">
        <f>ROUND(L2,2)</f>
        <v>17</v>
      </c>
    </row>
    <row r="3" spans="1:25" ht="12" customHeight="1" x14ac:dyDescent="0.25">
      <c r="A3" s="109" t="s">
        <v>34</v>
      </c>
      <c r="B3" s="1" t="s">
        <v>176</v>
      </c>
      <c r="C3" s="108">
        <v>44837</v>
      </c>
      <c r="D3" s="6"/>
      <c r="E3" s="6"/>
      <c r="F3" s="9"/>
      <c r="G3" s="9"/>
      <c r="H3" s="9">
        <v>15</v>
      </c>
      <c r="I3" s="2">
        <v>1.5</v>
      </c>
      <c r="J3" s="9">
        <f>SUM(H3+I3)</f>
        <v>16.5</v>
      </c>
      <c r="K3" s="195">
        <v>0.05</v>
      </c>
      <c r="L3" s="9">
        <f>ROUND(SUM(J3*K3)+J3,2)</f>
        <v>17.329999999999998</v>
      </c>
      <c r="M3" s="258">
        <v>0.03</v>
      </c>
      <c r="N3" s="256">
        <f>ROUND(SUM(M3*L3)+L3,2)</f>
        <v>17.850000000000001</v>
      </c>
      <c r="O3" s="10">
        <v>2080</v>
      </c>
      <c r="P3" s="9">
        <f>SUM(N3-L3)*O3</f>
        <v>1081.6000000000065</v>
      </c>
      <c r="Q3" s="2">
        <f>N3*O3</f>
        <v>37128</v>
      </c>
      <c r="R3" s="26"/>
      <c r="S3" s="9"/>
      <c r="T3" s="9"/>
      <c r="U3" s="9"/>
      <c r="V3" s="9"/>
      <c r="W3" s="9"/>
      <c r="X3" s="44"/>
      <c r="Y3" s="203"/>
    </row>
    <row r="4" spans="1:25" ht="12" customHeight="1" x14ac:dyDescent="0.25">
      <c r="A4" s="43" t="s">
        <v>200</v>
      </c>
      <c r="B4" s="1" t="s">
        <v>248</v>
      </c>
      <c r="C4" s="108">
        <v>45467</v>
      </c>
      <c r="D4" s="6" t="s">
        <v>70</v>
      </c>
      <c r="E4" s="6"/>
      <c r="F4" s="2"/>
      <c r="G4" s="2"/>
      <c r="H4" s="2">
        <v>15</v>
      </c>
      <c r="I4" s="2">
        <v>1.5</v>
      </c>
      <c r="J4" s="9">
        <f>SUM(H4+I4)</f>
        <v>16.5</v>
      </c>
      <c r="K4" s="195">
        <v>0.05</v>
      </c>
      <c r="L4" s="9">
        <v>17</v>
      </c>
      <c r="M4" s="258">
        <v>0.03</v>
      </c>
      <c r="N4" s="256">
        <f>ROUND(SUM(M4*L4)+L4,2)</f>
        <v>17.510000000000002</v>
      </c>
      <c r="O4" s="7">
        <v>2080</v>
      </c>
      <c r="P4" s="9">
        <f t="shared" ref="P4:P12" si="0">SUM(N4-L4)*O4</f>
        <v>1060.8000000000034</v>
      </c>
      <c r="Q4" s="2">
        <f>N4*O4</f>
        <v>36420.800000000003</v>
      </c>
      <c r="R4" s="28"/>
      <c r="S4" s="11"/>
      <c r="T4" s="11"/>
      <c r="U4" s="11"/>
      <c r="V4" s="9"/>
      <c r="W4" s="9"/>
      <c r="X4" s="44"/>
      <c r="Y4" s="203"/>
    </row>
    <row r="5" spans="1:25" ht="12" customHeight="1" x14ac:dyDescent="0.25">
      <c r="A5" s="43" t="s">
        <v>10</v>
      </c>
      <c r="B5" s="1" t="s">
        <v>40</v>
      </c>
      <c r="C5" s="108">
        <v>40844</v>
      </c>
      <c r="D5" s="6" t="s">
        <v>30</v>
      </c>
      <c r="E5" s="6" t="s">
        <v>30</v>
      </c>
      <c r="F5" s="2">
        <v>14.25</v>
      </c>
      <c r="G5" s="2">
        <v>1.5</v>
      </c>
      <c r="H5" s="2">
        <f>F5+G5</f>
        <v>15.75</v>
      </c>
      <c r="I5" s="2">
        <v>1.5</v>
      </c>
      <c r="J5" s="9">
        <f t="shared" ref="J5:J10" si="1">SUM(H5+I5)</f>
        <v>17.25</v>
      </c>
      <c r="K5" s="199">
        <v>0.05</v>
      </c>
      <c r="L5" s="9">
        <f>ROUND(SUM(J5*K5)+J5,2)</f>
        <v>18.11</v>
      </c>
      <c r="M5" s="258">
        <v>0.03</v>
      </c>
      <c r="N5" s="256">
        <f t="shared" ref="N5:N28" si="2">ROUND(SUM(M5*L5)+L5,2)</f>
        <v>18.649999999999999</v>
      </c>
      <c r="O5" s="7">
        <v>180</v>
      </c>
      <c r="P5" s="9">
        <f t="shared" si="0"/>
        <v>97.199999999999847</v>
      </c>
      <c r="Q5" s="2">
        <f t="shared" ref="Q5:Q12" si="3">N5*O5</f>
        <v>3356.9999999999995</v>
      </c>
      <c r="R5" s="26"/>
      <c r="S5" s="9"/>
      <c r="T5" s="9"/>
      <c r="U5" s="9"/>
      <c r="V5" s="9"/>
      <c r="W5" s="9"/>
      <c r="X5" s="44"/>
      <c r="Y5" s="203"/>
    </row>
    <row r="6" spans="1:25" ht="12" customHeight="1" x14ac:dyDescent="0.25">
      <c r="A6" s="43" t="s">
        <v>72</v>
      </c>
      <c r="B6" s="1" t="s">
        <v>245</v>
      </c>
      <c r="C6" s="108">
        <v>45348</v>
      </c>
      <c r="D6" s="6" t="s">
        <v>160</v>
      </c>
      <c r="E6" s="6"/>
      <c r="F6" s="9"/>
      <c r="G6" s="2"/>
      <c r="H6" s="2">
        <v>15</v>
      </c>
      <c r="I6" s="2">
        <v>1.5</v>
      </c>
      <c r="J6" s="9">
        <f t="shared" si="1"/>
        <v>16.5</v>
      </c>
      <c r="K6" s="199">
        <v>0.05</v>
      </c>
      <c r="L6" s="9">
        <v>17</v>
      </c>
      <c r="M6" s="258">
        <v>0.03</v>
      </c>
      <c r="N6" s="256">
        <f t="shared" si="2"/>
        <v>17.510000000000002</v>
      </c>
      <c r="O6" s="10">
        <v>1664</v>
      </c>
      <c r="P6" s="9">
        <f t="shared" si="0"/>
        <v>848.6400000000026</v>
      </c>
      <c r="Q6" s="2">
        <f t="shared" si="3"/>
        <v>29136.640000000003</v>
      </c>
      <c r="R6" s="27"/>
      <c r="S6" s="8"/>
      <c r="T6" s="9"/>
      <c r="U6" s="9"/>
      <c r="V6" s="9"/>
      <c r="W6" s="9"/>
      <c r="X6" s="44"/>
      <c r="Y6" s="203"/>
    </row>
    <row r="7" spans="1:25" ht="12" customHeight="1" x14ac:dyDescent="0.25">
      <c r="A7" s="43" t="s">
        <v>8</v>
      </c>
      <c r="B7" s="1" t="s">
        <v>175</v>
      </c>
      <c r="C7" s="108">
        <v>44622</v>
      </c>
      <c r="D7" s="6" t="s">
        <v>70</v>
      </c>
      <c r="E7" s="6"/>
      <c r="F7" s="9"/>
      <c r="G7" s="2"/>
      <c r="H7" s="2">
        <v>15</v>
      </c>
      <c r="I7" s="2">
        <v>1.5</v>
      </c>
      <c r="J7" s="9">
        <f t="shared" si="1"/>
        <v>16.5</v>
      </c>
      <c r="K7" s="195">
        <v>0.05</v>
      </c>
      <c r="L7" s="9">
        <v>17.329999999999998</v>
      </c>
      <c r="M7" s="258">
        <v>0.03</v>
      </c>
      <c r="N7" s="256">
        <f t="shared" si="2"/>
        <v>17.850000000000001</v>
      </c>
      <c r="O7" s="10">
        <v>832</v>
      </c>
      <c r="P7" s="9">
        <f t="shared" si="0"/>
        <v>432.6400000000026</v>
      </c>
      <c r="Q7" s="2">
        <f>N7*O7</f>
        <v>14851.2</v>
      </c>
      <c r="R7" s="27"/>
      <c r="S7" s="8"/>
      <c r="T7" s="9"/>
      <c r="U7" s="9"/>
      <c r="V7" s="9"/>
      <c r="W7" s="9"/>
      <c r="X7" s="44"/>
      <c r="Y7" s="323"/>
    </row>
    <row r="8" spans="1:25" ht="12" customHeight="1" x14ac:dyDescent="0.25">
      <c r="A8" s="43" t="s">
        <v>34</v>
      </c>
      <c r="B8" s="1" t="s">
        <v>41</v>
      </c>
      <c r="C8" s="108">
        <v>43815</v>
      </c>
      <c r="D8" s="6" t="s">
        <v>17</v>
      </c>
      <c r="E8" s="6" t="s">
        <v>17</v>
      </c>
      <c r="F8" s="2">
        <v>14.17</v>
      </c>
      <c r="G8" s="2">
        <v>1.5</v>
      </c>
      <c r="H8" s="2">
        <f>F8+G8</f>
        <v>15.67</v>
      </c>
      <c r="I8" s="2">
        <v>1.5</v>
      </c>
      <c r="J8" s="9">
        <f t="shared" si="1"/>
        <v>17.170000000000002</v>
      </c>
      <c r="K8" s="195">
        <v>0.05</v>
      </c>
      <c r="L8" s="9">
        <f t="shared" ref="L8:L12" si="4">ROUND(SUM(J8*K8)+J8,2)</f>
        <v>18.03</v>
      </c>
      <c r="M8" s="258">
        <v>0.03</v>
      </c>
      <c r="N8" s="256">
        <f t="shared" si="2"/>
        <v>18.57</v>
      </c>
      <c r="O8" s="7">
        <v>2080</v>
      </c>
      <c r="P8" s="9">
        <f t="shared" si="0"/>
        <v>1123.1999999999982</v>
      </c>
      <c r="Q8" s="2">
        <f t="shared" si="3"/>
        <v>38625.599999999999</v>
      </c>
      <c r="R8" s="27"/>
      <c r="S8" s="9"/>
      <c r="T8" s="8"/>
      <c r="U8" s="9"/>
      <c r="V8" s="9"/>
      <c r="W8" s="9"/>
      <c r="X8" s="44"/>
      <c r="Y8" s="203"/>
    </row>
    <row r="9" spans="1:25" ht="12" customHeight="1" x14ac:dyDescent="0.25">
      <c r="A9" s="43" t="s">
        <v>35</v>
      </c>
      <c r="B9" s="1" t="s">
        <v>218</v>
      </c>
      <c r="C9" s="108">
        <v>45201</v>
      </c>
      <c r="D9" s="6"/>
      <c r="E9" s="6"/>
      <c r="F9" s="2"/>
      <c r="G9" s="2"/>
      <c r="H9" s="2"/>
      <c r="I9" s="2"/>
      <c r="J9" s="9">
        <v>16.5</v>
      </c>
      <c r="K9" s="195">
        <v>0.05</v>
      </c>
      <c r="L9" s="9">
        <f t="shared" si="4"/>
        <v>17.329999999999998</v>
      </c>
      <c r="M9" s="258">
        <v>0.03</v>
      </c>
      <c r="N9" s="256">
        <f t="shared" si="2"/>
        <v>17.850000000000001</v>
      </c>
      <c r="O9" s="7">
        <v>2080</v>
      </c>
      <c r="P9" s="9">
        <f t="shared" si="0"/>
        <v>1081.6000000000065</v>
      </c>
      <c r="Q9" s="2">
        <f t="shared" si="3"/>
        <v>37128</v>
      </c>
      <c r="R9" s="27"/>
      <c r="S9" s="9"/>
      <c r="T9" s="8"/>
      <c r="U9" s="9"/>
      <c r="V9" s="9"/>
      <c r="W9" s="9"/>
      <c r="X9" s="44"/>
      <c r="Y9" s="203"/>
    </row>
    <row r="10" spans="1:25" ht="12" customHeight="1" x14ac:dyDescent="0.25">
      <c r="A10" s="43" t="s">
        <v>35</v>
      </c>
      <c r="B10" s="1" t="s">
        <v>42</v>
      </c>
      <c r="C10" s="108">
        <v>44348</v>
      </c>
      <c r="D10" s="6" t="s">
        <v>36</v>
      </c>
      <c r="E10" s="6" t="s">
        <v>36</v>
      </c>
      <c r="F10" s="9">
        <v>14.17</v>
      </c>
      <c r="G10" s="2">
        <v>1.5</v>
      </c>
      <c r="H10" s="2">
        <f>F10+G10</f>
        <v>15.67</v>
      </c>
      <c r="I10" s="2">
        <v>1.5</v>
      </c>
      <c r="J10" s="9">
        <f t="shared" si="1"/>
        <v>17.170000000000002</v>
      </c>
      <c r="K10" s="195">
        <v>0.05</v>
      </c>
      <c r="L10" s="9">
        <f t="shared" si="4"/>
        <v>18.03</v>
      </c>
      <c r="M10" s="258">
        <v>0.03</v>
      </c>
      <c r="N10" s="256">
        <f t="shared" si="2"/>
        <v>18.57</v>
      </c>
      <c r="O10" s="7">
        <v>1664</v>
      </c>
      <c r="P10" s="9">
        <f t="shared" si="0"/>
        <v>898.55999999999858</v>
      </c>
      <c r="Q10" s="2">
        <f t="shared" si="3"/>
        <v>30900.48</v>
      </c>
      <c r="R10" s="27"/>
      <c r="S10" s="8"/>
      <c r="T10" s="9"/>
      <c r="U10" s="9"/>
      <c r="V10" s="9"/>
      <c r="W10" s="9"/>
      <c r="X10" s="44"/>
      <c r="Y10" s="203"/>
    </row>
    <row r="11" spans="1:25" ht="12" customHeight="1" x14ac:dyDescent="0.25">
      <c r="A11" s="43" t="s">
        <v>35</v>
      </c>
      <c r="B11" s="1" t="s">
        <v>242</v>
      </c>
      <c r="C11" s="108">
        <v>45209</v>
      </c>
      <c r="D11" s="6"/>
      <c r="E11" s="6"/>
      <c r="F11" s="9"/>
      <c r="G11" s="9"/>
      <c r="H11" s="9"/>
      <c r="I11" s="9"/>
      <c r="J11" s="9">
        <v>16.5</v>
      </c>
      <c r="K11" s="198">
        <v>0.05</v>
      </c>
      <c r="L11" s="9">
        <f t="shared" si="4"/>
        <v>17.329999999999998</v>
      </c>
      <c r="M11" s="258">
        <v>0.03</v>
      </c>
      <c r="N11" s="256">
        <f t="shared" si="2"/>
        <v>17.850000000000001</v>
      </c>
      <c r="O11" s="10">
        <v>1664</v>
      </c>
      <c r="P11" s="9">
        <f t="shared" si="0"/>
        <v>865.2800000000052</v>
      </c>
      <c r="Q11" s="2">
        <f t="shared" si="3"/>
        <v>29702.400000000001</v>
      </c>
      <c r="R11" s="27"/>
      <c r="S11" s="9"/>
      <c r="T11" s="9"/>
      <c r="U11" s="9"/>
      <c r="V11" s="9"/>
      <c r="W11" s="9"/>
      <c r="X11" s="44"/>
      <c r="Y11" s="203"/>
    </row>
    <row r="12" spans="1:25" ht="12" customHeight="1" x14ac:dyDescent="0.25">
      <c r="A12" s="43" t="s">
        <v>217</v>
      </c>
      <c r="B12" s="1"/>
      <c r="C12" s="1"/>
      <c r="D12" s="1"/>
      <c r="E12" s="6"/>
      <c r="F12" s="9"/>
      <c r="G12" s="9"/>
      <c r="H12" s="9"/>
      <c r="I12" s="9"/>
      <c r="J12" s="9">
        <v>16.5</v>
      </c>
      <c r="K12" s="198">
        <v>0.05</v>
      </c>
      <c r="L12" s="9">
        <f t="shared" si="4"/>
        <v>17.329999999999998</v>
      </c>
      <c r="M12" s="258">
        <v>0.03</v>
      </c>
      <c r="N12" s="256">
        <f t="shared" si="2"/>
        <v>17.850000000000001</v>
      </c>
      <c r="O12" s="10">
        <v>303</v>
      </c>
      <c r="P12" s="9">
        <f t="shared" si="0"/>
        <v>157.56000000000094</v>
      </c>
      <c r="Q12" s="2">
        <f t="shared" si="3"/>
        <v>5408.55</v>
      </c>
      <c r="R12" s="28"/>
      <c r="S12" s="11"/>
      <c r="T12" s="11"/>
      <c r="U12" s="11"/>
      <c r="V12" s="11"/>
      <c r="W12" s="11"/>
      <c r="X12" s="45"/>
      <c r="Y12" s="203"/>
    </row>
    <row r="13" spans="1:25" ht="12" customHeight="1" x14ac:dyDescent="0.25">
      <c r="A13" s="41" t="s">
        <v>58</v>
      </c>
      <c r="B13" s="3" t="s">
        <v>37</v>
      </c>
      <c r="C13" s="3"/>
      <c r="D13" s="3" t="s">
        <v>15</v>
      </c>
      <c r="E13" s="35"/>
      <c r="F13" s="4"/>
      <c r="G13" s="3"/>
      <c r="H13" s="3"/>
      <c r="I13" s="3"/>
      <c r="J13" s="219"/>
      <c r="K13" s="3"/>
      <c r="L13" s="9">
        <v>17.77</v>
      </c>
      <c r="M13" s="319"/>
      <c r="N13" s="320"/>
      <c r="O13" s="3"/>
      <c r="P13" s="3"/>
      <c r="Q13" s="3"/>
      <c r="R13" s="192">
        <v>17.600000000000001</v>
      </c>
      <c r="S13" s="5">
        <f>R13*1.02</f>
        <v>17.952000000000002</v>
      </c>
      <c r="T13" s="5">
        <f>S13*1.02</f>
        <v>18.311040000000002</v>
      </c>
      <c r="U13" s="5">
        <f>T13*1.02</f>
        <v>18.677260800000003</v>
      </c>
      <c r="V13" s="5">
        <f>U13*1.02</f>
        <v>19.050806016000003</v>
      </c>
      <c r="W13" s="5">
        <f>V13*1.02</f>
        <v>19.431822136320005</v>
      </c>
      <c r="X13" s="42"/>
      <c r="Y13" s="302">
        <f t="shared" ref="Y13:Y14" si="5">ROUND(L13,2)</f>
        <v>17.77</v>
      </c>
    </row>
    <row r="14" spans="1:25" ht="12" customHeight="1" x14ac:dyDescent="0.25">
      <c r="A14" s="41" t="s">
        <v>278</v>
      </c>
      <c r="B14" s="89"/>
      <c r="C14" s="89"/>
      <c r="D14" s="89"/>
      <c r="E14" s="90"/>
      <c r="F14" s="89"/>
      <c r="G14" s="89"/>
      <c r="H14" s="89"/>
      <c r="I14" s="89"/>
      <c r="J14" s="89"/>
      <c r="K14" s="89"/>
      <c r="L14" s="242">
        <v>17.77</v>
      </c>
      <c r="M14" s="307"/>
      <c r="N14" s="320"/>
      <c r="O14" s="89"/>
      <c r="P14" s="301"/>
      <c r="Q14" s="89"/>
      <c r="R14" s="89"/>
      <c r="S14" s="264">
        <f>ROUND(SUM(M14*N14)+M14,2)</f>
        <v>0</v>
      </c>
      <c r="T14" s="5"/>
      <c r="U14" s="5"/>
      <c r="V14" s="5"/>
      <c r="W14" s="5"/>
      <c r="X14" s="42"/>
      <c r="Y14" s="302">
        <f t="shared" si="5"/>
        <v>17.77</v>
      </c>
    </row>
    <row r="15" spans="1:25" ht="12" customHeight="1" x14ac:dyDescent="0.25">
      <c r="A15" s="43" t="s">
        <v>12</v>
      </c>
      <c r="B15" s="1" t="s">
        <v>45</v>
      </c>
      <c r="C15" s="108">
        <v>30133</v>
      </c>
      <c r="D15" s="6" t="s">
        <v>26</v>
      </c>
      <c r="E15" s="6" t="s">
        <v>26</v>
      </c>
      <c r="F15" s="2">
        <v>21.28</v>
      </c>
      <c r="G15" s="2">
        <v>1.5</v>
      </c>
      <c r="H15" s="2">
        <f t="shared" ref="H15:H26" si="6">F15+G15</f>
        <v>22.78</v>
      </c>
      <c r="I15" s="2">
        <v>1.5</v>
      </c>
      <c r="J15" s="9">
        <f t="shared" ref="J15:J26" si="7">SUM(H15+I15)</f>
        <v>24.28</v>
      </c>
      <c r="K15" s="195">
        <v>0.05</v>
      </c>
      <c r="L15" s="9">
        <f t="shared" ref="L15:L28" si="8">ROUND(SUM(J15*K15)+J15,2)</f>
        <v>25.49</v>
      </c>
      <c r="M15" s="258">
        <v>0.03</v>
      </c>
      <c r="N15" s="256">
        <f t="shared" si="2"/>
        <v>26.25</v>
      </c>
      <c r="O15" s="7">
        <v>2080</v>
      </c>
      <c r="P15" s="9">
        <f t="shared" ref="P15:P28" si="9">SUM(N15-L15)*O15</f>
        <v>1580.8000000000034</v>
      </c>
      <c r="Q15" s="2">
        <f t="shared" ref="Q15:Q28" si="10">N15*O15</f>
        <v>54600</v>
      </c>
      <c r="R15" s="29"/>
      <c r="S15" s="11"/>
      <c r="T15" s="11"/>
      <c r="U15" s="11"/>
      <c r="V15" s="11"/>
      <c r="W15" s="11"/>
      <c r="X15" s="45"/>
      <c r="Y15" s="203"/>
    </row>
    <row r="16" spans="1:25" ht="12" customHeight="1" x14ac:dyDescent="0.25">
      <c r="A16" s="43" t="s">
        <v>0</v>
      </c>
      <c r="B16" s="1" t="s">
        <v>47</v>
      </c>
      <c r="C16" s="108">
        <v>43269</v>
      </c>
      <c r="D16" s="6" t="s">
        <v>18</v>
      </c>
      <c r="E16" s="6"/>
      <c r="F16" s="2">
        <v>15.42</v>
      </c>
      <c r="G16" s="2">
        <v>1.5</v>
      </c>
      <c r="H16" s="2">
        <f t="shared" si="6"/>
        <v>16.920000000000002</v>
      </c>
      <c r="I16" s="2">
        <v>1.5</v>
      </c>
      <c r="J16" s="9">
        <f t="shared" si="7"/>
        <v>18.420000000000002</v>
      </c>
      <c r="K16" s="195">
        <v>0.05</v>
      </c>
      <c r="L16" s="9">
        <f t="shared" si="8"/>
        <v>19.34</v>
      </c>
      <c r="M16" s="258">
        <v>0.03</v>
      </c>
      <c r="N16" s="256">
        <f t="shared" si="2"/>
        <v>19.920000000000002</v>
      </c>
      <c r="O16" s="7">
        <v>2080</v>
      </c>
      <c r="P16" s="9">
        <f t="shared" si="9"/>
        <v>1206.4000000000037</v>
      </c>
      <c r="Q16" s="2">
        <f t="shared" si="10"/>
        <v>41433.600000000006</v>
      </c>
      <c r="R16" s="28"/>
      <c r="S16" s="11"/>
      <c r="T16" s="11"/>
      <c r="U16" s="12"/>
      <c r="V16" s="11"/>
      <c r="W16" s="11"/>
      <c r="X16" s="45"/>
      <c r="Y16" s="203"/>
    </row>
    <row r="17" spans="1:25" ht="12" customHeight="1" x14ac:dyDescent="0.25">
      <c r="A17" s="43" t="s">
        <v>65</v>
      </c>
      <c r="B17" s="1" t="s">
        <v>216</v>
      </c>
      <c r="C17" s="108">
        <v>43073</v>
      </c>
      <c r="D17" s="6" t="s">
        <v>23</v>
      </c>
      <c r="E17" s="6" t="s">
        <v>66</v>
      </c>
      <c r="F17" s="2">
        <v>14.88</v>
      </c>
      <c r="G17" s="2">
        <v>1.5</v>
      </c>
      <c r="H17" s="2">
        <f t="shared" si="6"/>
        <v>16.380000000000003</v>
      </c>
      <c r="I17" s="2">
        <v>1.5</v>
      </c>
      <c r="J17" s="9">
        <v>17.25</v>
      </c>
      <c r="K17" s="195">
        <v>0.05</v>
      </c>
      <c r="L17" s="9">
        <f t="shared" si="8"/>
        <v>18.11</v>
      </c>
      <c r="M17" s="258">
        <v>0.03</v>
      </c>
      <c r="N17" s="256">
        <f t="shared" si="2"/>
        <v>18.649999999999999</v>
      </c>
      <c r="O17" s="7">
        <v>2080</v>
      </c>
      <c r="P17" s="9">
        <f t="shared" si="9"/>
        <v>1123.1999999999982</v>
      </c>
      <c r="Q17" s="2">
        <f t="shared" si="10"/>
        <v>38792</v>
      </c>
      <c r="R17" s="28"/>
      <c r="S17" s="11"/>
      <c r="T17" s="11"/>
      <c r="U17" s="11"/>
      <c r="V17" s="12"/>
      <c r="W17" s="11"/>
      <c r="X17" s="45"/>
      <c r="Y17" s="203"/>
    </row>
    <row r="18" spans="1:25" ht="12" customHeight="1" x14ac:dyDescent="0.25">
      <c r="A18" s="43" t="s">
        <v>1</v>
      </c>
      <c r="B18" s="1" t="s">
        <v>51</v>
      </c>
      <c r="C18" s="108">
        <v>44396</v>
      </c>
      <c r="D18" s="6" t="s">
        <v>68</v>
      </c>
      <c r="E18" s="6" t="s">
        <v>68</v>
      </c>
      <c r="F18" s="2">
        <v>14.88</v>
      </c>
      <c r="G18" s="2">
        <v>1.5</v>
      </c>
      <c r="H18" s="2">
        <f t="shared" si="6"/>
        <v>16.380000000000003</v>
      </c>
      <c r="I18" s="2">
        <v>1.5</v>
      </c>
      <c r="J18" s="9">
        <f t="shared" si="7"/>
        <v>17.880000000000003</v>
      </c>
      <c r="K18" s="195">
        <v>0.05</v>
      </c>
      <c r="L18" s="9">
        <f t="shared" si="8"/>
        <v>18.77</v>
      </c>
      <c r="M18" s="258">
        <v>0.03</v>
      </c>
      <c r="N18" s="256">
        <f t="shared" si="2"/>
        <v>19.329999999999998</v>
      </c>
      <c r="O18" s="7">
        <v>2080</v>
      </c>
      <c r="P18" s="9">
        <f t="shared" si="9"/>
        <v>1164.7999999999975</v>
      </c>
      <c r="Q18" s="2">
        <f t="shared" si="10"/>
        <v>40206.399999999994</v>
      </c>
      <c r="R18" s="30"/>
      <c r="S18" s="11"/>
      <c r="T18" s="11"/>
      <c r="U18" s="12"/>
      <c r="V18" s="11"/>
      <c r="W18" s="11"/>
      <c r="X18" s="45"/>
      <c r="Y18" s="203"/>
    </row>
    <row r="19" spans="1:25" ht="12" customHeight="1" x14ac:dyDescent="0.25">
      <c r="A19" s="46" t="s">
        <v>13</v>
      </c>
      <c r="B19" s="18" t="s">
        <v>237</v>
      </c>
      <c r="C19" s="114"/>
      <c r="D19" s="6"/>
      <c r="E19" s="6"/>
      <c r="F19" s="19"/>
      <c r="G19" s="2"/>
      <c r="H19" s="2"/>
      <c r="I19" s="9">
        <v>1.5</v>
      </c>
      <c r="J19" s="9">
        <v>17.77</v>
      </c>
      <c r="K19" s="195">
        <v>0.05</v>
      </c>
      <c r="L19" s="9">
        <v>17.77</v>
      </c>
      <c r="M19" s="258">
        <v>0.03</v>
      </c>
      <c r="N19" s="256">
        <f t="shared" si="2"/>
        <v>18.3</v>
      </c>
      <c r="O19" s="7">
        <v>2080</v>
      </c>
      <c r="P19" s="9">
        <f t="shared" si="9"/>
        <v>1102.4000000000024</v>
      </c>
      <c r="Q19" s="2">
        <f t="shared" si="10"/>
        <v>38064</v>
      </c>
      <c r="R19" s="29"/>
      <c r="S19" s="11"/>
      <c r="T19" s="11"/>
      <c r="U19" s="11"/>
      <c r="V19" s="9"/>
      <c r="W19" s="9"/>
      <c r="X19" s="44"/>
      <c r="Y19" s="203"/>
    </row>
    <row r="20" spans="1:25" ht="12" customHeight="1" x14ac:dyDescent="0.25">
      <c r="A20" s="43" t="s">
        <v>13</v>
      </c>
      <c r="B20" s="1" t="s">
        <v>237</v>
      </c>
      <c r="C20" s="108"/>
      <c r="D20" s="6" t="s">
        <v>25</v>
      </c>
      <c r="E20" s="6" t="s">
        <v>71</v>
      </c>
      <c r="F20" s="2">
        <v>14.88</v>
      </c>
      <c r="G20" s="9">
        <v>1.66</v>
      </c>
      <c r="H20" s="2">
        <v>17.54</v>
      </c>
      <c r="I20" s="2">
        <v>1.5</v>
      </c>
      <c r="J20" s="9">
        <f t="shared" ref="J20" si="11">SUM(H20+I20)</f>
        <v>19.04</v>
      </c>
      <c r="K20" s="195">
        <v>0.05</v>
      </c>
      <c r="L20" s="9">
        <v>17.77</v>
      </c>
      <c r="M20" s="258">
        <v>0.03</v>
      </c>
      <c r="N20" s="256">
        <f t="shared" ref="N20" si="12">ROUND(SUM(M20*L20)+L20,2)</f>
        <v>18.3</v>
      </c>
      <c r="O20" s="6">
        <v>2080</v>
      </c>
      <c r="P20" s="9">
        <f t="shared" ref="P20" si="13">SUM(N20-L20)*O20</f>
        <v>1102.4000000000024</v>
      </c>
      <c r="Q20" s="2">
        <f>N20*O20</f>
        <v>38064</v>
      </c>
      <c r="R20" s="29"/>
      <c r="S20" s="11"/>
      <c r="T20" s="11"/>
      <c r="U20" s="11"/>
      <c r="V20" s="9"/>
      <c r="W20" s="9"/>
      <c r="X20" s="44"/>
      <c r="Y20" s="203"/>
    </row>
    <row r="21" spans="1:25" ht="12" customHeight="1" x14ac:dyDescent="0.25">
      <c r="A21" s="303" t="s">
        <v>13</v>
      </c>
      <c r="B21" s="304" t="s">
        <v>277</v>
      </c>
      <c r="C21" s="300">
        <v>44830</v>
      </c>
      <c r="D21" s="6"/>
      <c r="E21" s="6"/>
      <c r="F21" s="2"/>
      <c r="G21" s="9"/>
      <c r="H21" s="2"/>
      <c r="I21" s="2"/>
      <c r="J21" s="9"/>
      <c r="K21" s="195"/>
      <c r="L21" s="9">
        <v>18</v>
      </c>
      <c r="M21" s="258"/>
      <c r="N21" s="256">
        <v>18</v>
      </c>
      <c r="O21" s="6">
        <v>1248</v>
      </c>
      <c r="P21" s="9"/>
      <c r="Q21" s="2">
        <f>N21*O21</f>
        <v>22464</v>
      </c>
      <c r="R21" s="29"/>
      <c r="S21" s="11"/>
      <c r="T21" s="11"/>
      <c r="U21" s="11"/>
      <c r="V21" s="9"/>
      <c r="W21" s="9"/>
      <c r="X21" s="44"/>
      <c r="Y21" s="203"/>
    </row>
    <row r="22" spans="1:25" ht="12" customHeight="1" x14ac:dyDescent="0.25">
      <c r="A22" s="43" t="s">
        <v>261</v>
      </c>
      <c r="B22" s="1" t="s">
        <v>262</v>
      </c>
      <c r="C22" s="108">
        <v>45526</v>
      </c>
      <c r="D22" s="6"/>
      <c r="E22" s="6"/>
      <c r="F22" s="2"/>
      <c r="G22" s="80"/>
      <c r="H22" s="2">
        <v>16.54</v>
      </c>
      <c r="I22" s="2">
        <v>1.5</v>
      </c>
      <c r="J22" s="9">
        <f t="shared" ref="J22" si="14">SUM(H22+I22)</f>
        <v>18.04</v>
      </c>
      <c r="K22" s="195">
        <v>0.05</v>
      </c>
      <c r="L22" s="9">
        <v>17.77</v>
      </c>
      <c r="M22" s="258"/>
      <c r="N22" s="256">
        <f t="shared" ref="N22" si="15">ROUND(SUM(M22*L22)+L22,2)</f>
        <v>17.77</v>
      </c>
      <c r="O22" s="6">
        <v>1404</v>
      </c>
      <c r="P22" s="9">
        <f t="shared" ref="P22" si="16">SUM(N22-L22)*O22</f>
        <v>0</v>
      </c>
      <c r="Q22" s="2">
        <f>N22*O22</f>
        <v>24949.079999999998</v>
      </c>
      <c r="R22" s="30"/>
      <c r="S22" s="1"/>
      <c r="T22" s="11"/>
      <c r="U22" s="11"/>
      <c r="V22" s="11"/>
      <c r="W22" s="11"/>
      <c r="X22" s="45"/>
      <c r="Y22" s="297" t="s">
        <v>269</v>
      </c>
    </row>
    <row r="23" spans="1:25" ht="12" customHeight="1" x14ac:dyDescent="0.25">
      <c r="A23" s="43" t="s">
        <v>2</v>
      </c>
      <c r="B23" s="1" t="s">
        <v>46</v>
      </c>
      <c r="C23" s="108">
        <v>39160</v>
      </c>
      <c r="D23" s="6" t="s">
        <v>29</v>
      </c>
      <c r="E23" s="6" t="s">
        <v>29</v>
      </c>
      <c r="F23" s="2">
        <v>16.59</v>
      </c>
      <c r="G23" s="2">
        <v>1.5</v>
      </c>
      <c r="H23" s="2">
        <f t="shared" si="6"/>
        <v>18.09</v>
      </c>
      <c r="I23" s="2">
        <v>0.5</v>
      </c>
      <c r="J23" s="9">
        <v>18.59</v>
      </c>
      <c r="K23" s="195">
        <v>0.05</v>
      </c>
      <c r="L23" s="9">
        <f t="shared" si="8"/>
        <v>19.52</v>
      </c>
      <c r="M23" s="258">
        <v>0.03</v>
      </c>
      <c r="N23" s="256">
        <f t="shared" si="2"/>
        <v>20.11</v>
      </c>
      <c r="O23" s="7">
        <v>1664</v>
      </c>
      <c r="P23" s="9">
        <f t="shared" si="9"/>
        <v>981.75999999999976</v>
      </c>
      <c r="Q23" s="2">
        <f t="shared" si="10"/>
        <v>33463.040000000001</v>
      </c>
      <c r="R23" s="28"/>
      <c r="S23" s="11"/>
      <c r="T23" s="11"/>
      <c r="U23" s="11"/>
      <c r="V23" s="11"/>
      <c r="W23" s="11"/>
      <c r="X23" s="45"/>
      <c r="Y23" s="203"/>
    </row>
    <row r="24" spans="1:25" ht="12" customHeight="1" x14ac:dyDescent="0.25">
      <c r="A24" s="232" t="s">
        <v>7</v>
      </c>
      <c r="B24" s="15" t="s">
        <v>49</v>
      </c>
      <c r="C24" s="16" t="s">
        <v>193</v>
      </c>
      <c r="D24" s="16" t="s">
        <v>32</v>
      </c>
      <c r="E24" s="16" t="s">
        <v>32</v>
      </c>
      <c r="F24" s="17">
        <v>16.37</v>
      </c>
      <c r="G24" s="2">
        <v>1.5</v>
      </c>
      <c r="H24" s="2">
        <f t="shared" si="6"/>
        <v>17.87</v>
      </c>
      <c r="I24" s="2">
        <v>1.5</v>
      </c>
      <c r="J24" s="9">
        <f t="shared" si="7"/>
        <v>19.37</v>
      </c>
      <c r="K24" s="195">
        <v>0.05</v>
      </c>
      <c r="L24" s="9">
        <f t="shared" si="8"/>
        <v>20.34</v>
      </c>
      <c r="M24" s="258">
        <v>0.03</v>
      </c>
      <c r="N24" s="256">
        <f t="shared" si="2"/>
        <v>20.95</v>
      </c>
      <c r="O24" s="7">
        <v>935</v>
      </c>
      <c r="P24" s="9">
        <f t="shared" si="9"/>
        <v>570.34999999999945</v>
      </c>
      <c r="Q24" s="2">
        <f t="shared" si="10"/>
        <v>19588.25</v>
      </c>
      <c r="R24" s="28"/>
      <c r="S24" s="11"/>
      <c r="T24" s="11"/>
      <c r="U24" s="11"/>
      <c r="V24" s="11"/>
      <c r="W24" s="11"/>
      <c r="X24" s="45"/>
      <c r="Y24" s="203"/>
    </row>
    <row r="25" spans="1:25" ht="12" customHeight="1" x14ac:dyDescent="0.25">
      <c r="A25" s="232" t="s">
        <v>7</v>
      </c>
      <c r="B25" s="15" t="s">
        <v>222</v>
      </c>
      <c r="C25" s="16" t="s">
        <v>193</v>
      </c>
      <c r="D25" s="16"/>
      <c r="E25" s="16"/>
      <c r="F25" s="17"/>
      <c r="G25" s="2"/>
      <c r="H25" s="2"/>
      <c r="I25" s="2"/>
      <c r="J25" s="9">
        <v>21.99</v>
      </c>
      <c r="K25" s="195">
        <v>0.05</v>
      </c>
      <c r="L25" s="9">
        <f t="shared" si="8"/>
        <v>23.09</v>
      </c>
      <c r="M25" s="258">
        <v>0.03</v>
      </c>
      <c r="N25" s="256">
        <f t="shared" si="2"/>
        <v>23.78</v>
      </c>
      <c r="O25" s="7">
        <v>540</v>
      </c>
      <c r="P25" s="9">
        <f t="shared" si="9"/>
        <v>372.6000000000007</v>
      </c>
      <c r="Q25" s="2">
        <f t="shared" si="10"/>
        <v>12841.2</v>
      </c>
      <c r="R25" s="28"/>
      <c r="S25" s="11"/>
      <c r="T25" s="11"/>
      <c r="U25" s="11"/>
      <c r="V25" s="11"/>
      <c r="W25" s="11"/>
      <c r="X25" s="45"/>
      <c r="Y25" s="203"/>
    </row>
    <row r="26" spans="1:25" ht="12" customHeight="1" x14ac:dyDescent="0.25">
      <c r="A26" s="232" t="s">
        <v>7</v>
      </c>
      <c r="B26" s="15" t="s">
        <v>50</v>
      </c>
      <c r="C26" s="153">
        <v>43447</v>
      </c>
      <c r="D26" s="16" t="s">
        <v>33</v>
      </c>
      <c r="E26" s="16" t="s">
        <v>33</v>
      </c>
      <c r="F26" s="17">
        <v>14.88</v>
      </c>
      <c r="G26" s="2">
        <v>1.5</v>
      </c>
      <c r="H26" s="2">
        <f t="shared" si="6"/>
        <v>16.380000000000003</v>
      </c>
      <c r="I26" s="2">
        <v>1.5</v>
      </c>
      <c r="J26" s="9">
        <f t="shared" si="7"/>
        <v>17.880000000000003</v>
      </c>
      <c r="K26" s="195">
        <v>0.05</v>
      </c>
      <c r="L26" s="9">
        <f t="shared" si="8"/>
        <v>18.77</v>
      </c>
      <c r="M26" s="258">
        <v>0.03</v>
      </c>
      <c r="N26" s="256">
        <f t="shared" si="2"/>
        <v>19.329999999999998</v>
      </c>
      <c r="O26" s="7">
        <v>460</v>
      </c>
      <c r="P26" s="9">
        <f t="shared" si="9"/>
        <v>257.5999999999994</v>
      </c>
      <c r="Q26" s="2">
        <f t="shared" si="10"/>
        <v>8891.7999999999993</v>
      </c>
      <c r="R26" s="28"/>
      <c r="S26" s="11"/>
      <c r="T26" s="11"/>
      <c r="U26" s="12"/>
      <c r="V26" s="11"/>
      <c r="W26" s="11"/>
      <c r="X26" s="45"/>
      <c r="Y26" s="204"/>
    </row>
    <row r="27" spans="1:25" ht="12" customHeight="1" x14ac:dyDescent="0.25">
      <c r="A27" s="232" t="s">
        <v>7</v>
      </c>
      <c r="B27" s="202" t="s">
        <v>224</v>
      </c>
      <c r="C27" s="153"/>
      <c r="D27" s="16"/>
      <c r="E27" s="16"/>
      <c r="F27" s="17"/>
      <c r="G27" s="2"/>
      <c r="H27" s="2"/>
      <c r="I27" s="2"/>
      <c r="J27" s="9">
        <v>16.5</v>
      </c>
      <c r="K27" s="195">
        <v>0.05</v>
      </c>
      <c r="L27" s="9">
        <f t="shared" si="8"/>
        <v>17.329999999999998</v>
      </c>
      <c r="M27" s="258">
        <v>0.03</v>
      </c>
      <c r="N27" s="256">
        <f t="shared" si="2"/>
        <v>17.850000000000001</v>
      </c>
      <c r="O27" s="7">
        <v>606</v>
      </c>
      <c r="P27" s="9">
        <f t="shared" si="9"/>
        <v>315.12000000000188</v>
      </c>
      <c r="Q27" s="2">
        <f t="shared" si="10"/>
        <v>10817.1</v>
      </c>
      <c r="R27" s="28"/>
      <c r="S27" s="11"/>
      <c r="T27" s="11"/>
      <c r="U27" s="12"/>
      <c r="V27" s="11"/>
      <c r="W27" s="11"/>
      <c r="X27" s="45"/>
      <c r="Y27" s="203"/>
    </row>
    <row r="28" spans="1:25" ht="12" customHeight="1" x14ac:dyDescent="0.25">
      <c r="A28" s="46" t="s">
        <v>6</v>
      </c>
      <c r="B28" s="18" t="s">
        <v>238</v>
      </c>
      <c r="C28" s="114">
        <v>45209</v>
      </c>
      <c r="D28" s="6"/>
      <c r="E28" s="6"/>
      <c r="F28" s="19"/>
      <c r="G28" s="2"/>
      <c r="H28" s="2">
        <v>15.75</v>
      </c>
      <c r="I28" s="2"/>
      <c r="J28" s="9">
        <v>18.04</v>
      </c>
      <c r="K28" s="195">
        <v>0.05</v>
      </c>
      <c r="L28" s="9">
        <f t="shared" si="8"/>
        <v>18.940000000000001</v>
      </c>
      <c r="M28" s="258">
        <v>0.03</v>
      </c>
      <c r="N28" s="256">
        <f t="shared" si="2"/>
        <v>19.510000000000002</v>
      </c>
      <c r="O28" s="7">
        <v>2080</v>
      </c>
      <c r="P28" s="9">
        <f t="shared" si="9"/>
        <v>1185.6000000000006</v>
      </c>
      <c r="Q28" s="2">
        <f t="shared" si="10"/>
        <v>40580.800000000003</v>
      </c>
      <c r="R28" s="29"/>
      <c r="S28" s="11"/>
      <c r="T28" s="11"/>
      <c r="U28" s="11"/>
      <c r="V28" s="11"/>
      <c r="W28" s="11"/>
      <c r="X28" s="45"/>
      <c r="Y28" s="203"/>
    </row>
    <row r="29" spans="1:25" ht="12" customHeight="1" x14ac:dyDescent="0.25">
      <c r="A29" s="41" t="s">
        <v>59</v>
      </c>
      <c r="B29" s="3" t="s">
        <v>37</v>
      </c>
      <c r="C29" s="3"/>
      <c r="D29" s="3" t="s">
        <v>15</v>
      </c>
      <c r="E29" s="35"/>
      <c r="F29" s="4"/>
      <c r="G29" s="3"/>
      <c r="H29" s="3"/>
      <c r="I29" s="3"/>
      <c r="J29" s="219"/>
      <c r="K29" s="3"/>
      <c r="L29" s="9">
        <v>18.579999999999998</v>
      </c>
      <c r="M29" s="305"/>
      <c r="N29" s="314"/>
      <c r="O29" s="3"/>
      <c r="P29" s="3"/>
      <c r="Q29" s="3"/>
      <c r="R29" s="193">
        <v>18.399999999999999</v>
      </c>
      <c r="S29" s="5">
        <f>R29*1.02</f>
        <v>18.767999999999997</v>
      </c>
      <c r="T29" s="5">
        <f>S29*1.02</f>
        <v>19.143359999999998</v>
      </c>
      <c r="U29" s="5">
        <f>T29*1.02</f>
        <v>19.526227199999997</v>
      </c>
      <c r="V29" s="5">
        <f>U29*1.02</f>
        <v>19.916751743999999</v>
      </c>
      <c r="W29" s="5">
        <f>V29*1.02</f>
        <v>20.315086778879998</v>
      </c>
      <c r="X29" s="42"/>
      <c r="Y29" s="302">
        <f t="shared" ref="Y29:Y30" si="17">ROUND(L29,2)</f>
        <v>18.579999999999998</v>
      </c>
    </row>
    <row r="30" spans="1:25" ht="12" customHeight="1" x14ac:dyDescent="0.25">
      <c r="A30" s="41" t="s">
        <v>14</v>
      </c>
      <c r="B30" s="89"/>
      <c r="C30" s="89"/>
      <c r="D30" s="89" t="s">
        <v>15</v>
      </c>
      <c r="E30" s="90"/>
      <c r="F30" s="89"/>
      <c r="G30" s="89"/>
      <c r="H30" s="89"/>
      <c r="I30" s="89"/>
      <c r="J30" s="89"/>
      <c r="K30" s="89"/>
      <c r="L30" s="242">
        <v>18.940000000000001</v>
      </c>
      <c r="M30" s="306"/>
      <c r="N30" s="315"/>
      <c r="O30" s="89"/>
      <c r="P30" s="89"/>
      <c r="Q30" s="89"/>
      <c r="R30" s="89"/>
      <c r="S30" s="264">
        <f>ROUND(SUM(M30*N30)+M30,2)</f>
        <v>0</v>
      </c>
      <c r="T30" s="5"/>
      <c r="U30" s="5"/>
      <c r="V30" s="5"/>
      <c r="W30" s="5"/>
      <c r="X30" s="42"/>
      <c r="Y30" s="302">
        <f t="shared" si="17"/>
        <v>18.940000000000001</v>
      </c>
    </row>
    <row r="31" spans="1:25" ht="12" customHeight="1" x14ac:dyDescent="0.25">
      <c r="A31" s="43" t="s">
        <v>3</v>
      </c>
      <c r="B31" s="1" t="s">
        <v>52</v>
      </c>
      <c r="C31" s="108">
        <v>42912</v>
      </c>
      <c r="D31" s="6" t="s">
        <v>16</v>
      </c>
      <c r="E31" s="6"/>
      <c r="F31" s="2">
        <v>16.37</v>
      </c>
      <c r="G31" s="2">
        <v>1.5</v>
      </c>
      <c r="H31" s="2">
        <f>F31+G31</f>
        <v>17.87</v>
      </c>
      <c r="I31" s="2">
        <v>1.5</v>
      </c>
      <c r="J31" s="9">
        <f t="shared" ref="J31:J38" si="18">SUM(H31+I31)</f>
        <v>19.37</v>
      </c>
      <c r="K31" s="195">
        <v>0.05</v>
      </c>
      <c r="L31" s="9">
        <f t="shared" ref="L31:L35" si="19">ROUND(SUM(J31*K31)+J31,2)</f>
        <v>20.34</v>
      </c>
      <c r="M31" s="258">
        <v>0.03</v>
      </c>
      <c r="N31" s="256">
        <f t="shared" ref="N31:N39" si="20">ROUND(SUM(M31*L31)+L31,2)</f>
        <v>20.95</v>
      </c>
      <c r="O31" s="6">
        <v>2080</v>
      </c>
      <c r="P31" s="9">
        <f t="shared" ref="P31:P35" si="21">SUM(N31-L31)*O31</f>
        <v>1268.7999999999988</v>
      </c>
      <c r="Q31" s="2">
        <f t="shared" ref="Q31:Q38" si="22">N31*O31</f>
        <v>43576</v>
      </c>
      <c r="R31" s="28"/>
      <c r="S31" s="1"/>
      <c r="T31" s="11"/>
      <c r="U31" s="116"/>
      <c r="V31" s="12"/>
      <c r="W31" s="11"/>
      <c r="X31" s="45"/>
      <c r="Y31" s="203"/>
    </row>
    <row r="32" spans="1:25" ht="12" customHeight="1" x14ac:dyDescent="0.25">
      <c r="A32" s="43" t="s">
        <v>198</v>
      </c>
      <c r="B32" s="1" t="s">
        <v>215</v>
      </c>
      <c r="C32" s="108">
        <v>44776</v>
      </c>
      <c r="D32" s="6" t="s">
        <v>28</v>
      </c>
      <c r="E32" s="6" t="s">
        <v>28</v>
      </c>
      <c r="F32" s="2">
        <v>14.88</v>
      </c>
      <c r="G32" s="2">
        <v>1.5</v>
      </c>
      <c r="H32" s="2">
        <v>17.54</v>
      </c>
      <c r="I32" s="2">
        <v>1.5</v>
      </c>
      <c r="J32" s="9">
        <v>18.04</v>
      </c>
      <c r="K32" s="195">
        <v>0.05</v>
      </c>
      <c r="L32" s="9">
        <f t="shared" si="19"/>
        <v>18.940000000000001</v>
      </c>
      <c r="M32" s="258">
        <v>0.03</v>
      </c>
      <c r="N32" s="256">
        <f t="shared" si="20"/>
        <v>19.510000000000002</v>
      </c>
      <c r="O32" s="7">
        <v>2080</v>
      </c>
      <c r="P32" s="9">
        <f t="shared" si="21"/>
        <v>1185.6000000000006</v>
      </c>
      <c r="Q32" s="2">
        <f t="shared" si="22"/>
        <v>40580.800000000003</v>
      </c>
      <c r="R32" s="28"/>
      <c r="S32" s="11"/>
      <c r="T32" s="12"/>
      <c r="U32" s="11"/>
      <c r="V32" s="11"/>
      <c r="W32" s="11">
        <f>L32*O32</f>
        <v>39395.200000000004</v>
      </c>
      <c r="X32" s="45"/>
      <c r="Y32" s="203"/>
    </row>
    <row r="33" spans="1:25" ht="12" customHeight="1" x14ac:dyDescent="0.25">
      <c r="A33" s="46" t="s">
        <v>6</v>
      </c>
      <c r="B33" s="18" t="s">
        <v>164</v>
      </c>
      <c r="C33" s="114">
        <v>44473</v>
      </c>
      <c r="D33" s="6" t="s">
        <v>165</v>
      </c>
      <c r="E33" s="6" t="s">
        <v>165</v>
      </c>
      <c r="F33" s="19">
        <v>16.5</v>
      </c>
      <c r="G33" s="9">
        <v>0.04</v>
      </c>
      <c r="H33" s="9">
        <f t="shared" ref="H33:H39" si="23">F33+G33</f>
        <v>16.54</v>
      </c>
      <c r="I33" s="2">
        <v>1.5</v>
      </c>
      <c r="J33" s="9">
        <v>19.54</v>
      </c>
      <c r="K33" s="195">
        <v>0.05</v>
      </c>
      <c r="L33" s="9">
        <f t="shared" si="19"/>
        <v>20.52</v>
      </c>
      <c r="M33" s="258">
        <v>0.03</v>
      </c>
      <c r="N33" s="256">
        <f t="shared" si="20"/>
        <v>21.14</v>
      </c>
      <c r="O33" s="6">
        <v>2080</v>
      </c>
      <c r="P33" s="9">
        <f t="shared" si="21"/>
        <v>1289.6000000000022</v>
      </c>
      <c r="Q33" s="2">
        <f t="shared" si="22"/>
        <v>43971.200000000004</v>
      </c>
      <c r="R33" s="28"/>
      <c r="S33" s="1"/>
      <c r="T33" s="11"/>
      <c r="U33" s="12"/>
      <c r="V33" s="1"/>
      <c r="W33" s="11"/>
      <c r="X33" s="45"/>
      <c r="Y33" s="203"/>
    </row>
    <row r="34" spans="1:25" ht="12" customHeight="1" x14ac:dyDescent="0.25">
      <c r="A34" s="46" t="s">
        <v>152</v>
      </c>
      <c r="B34" s="18" t="s">
        <v>241</v>
      </c>
      <c r="C34" s="114">
        <v>45314</v>
      </c>
      <c r="D34" s="6" t="s">
        <v>22</v>
      </c>
      <c r="E34" s="6" t="s">
        <v>69</v>
      </c>
      <c r="F34" s="19">
        <v>16.61</v>
      </c>
      <c r="G34" s="2">
        <v>1.5</v>
      </c>
      <c r="H34" s="2">
        <f t="shared" si="23"/>
        <v>18.11</v>
      </c>
      <c r="I34" s="2">
        <v>1.5</v>
      </c>
      <c r="J34" s="9">
        <v>18.04</v>
      </c>
      <c r="K34" s="195">
        <v>0.05</v>
      </c>
      <c r="L34" s="9">
        <v>18.579999999999998</v>
      </c>
      <c r="M34" s="258">
        <v>0.03</v>
      </c>
      <c r="N34" s="256">
        <f t="shared" si="20"/>
        <v>19.14</v>
      </c>
      <c r="O34" s="6">
        <v>2080</v>
      </c>
      <c r="P34" s="9">
        <f t="shared" si="21"/>
        <v>1164.8000000000047</v>
      </c>
      <c r="Q34" s="2">
        <f t="shared" si="22"/>
        <v>39811.200000000004</v>
      </c>
      <c r="R34" s="28"/>
      <c r="S34" s="1"/>
      <c r="T34" s="11"/>
      <c r="U34" s="12"/>
      <c r="V34" s="11"/>
      <c r="W34" s="11"/>
      <c r="X34" s="45"/>
      <c r="Y34" s="203"/>
    </row>
    <row r="35" spans="1:25" ht="12" customHeight="1" x14ac:dyDescent="0.25">
      <c r="A35" s="43" t="s">
        <v>14</v>
      </c>
      <c r="B35" s="1" t="s">
        <v>53</v>
      </c>
      <c r="C35" s="108">
        <v>43801</v>
      </c>
      <c r="D35" s="6" t="s">
        <v>24</v>
      </c>
      <c r="E35" s="6" t="s">
        <v>27</v>
      </c>
      <c r="F35" s="2">
        <v>14.88</v>
      </c>
      <c r="G35" s="9">
        <v>1.66</v>
      </c>
      <c r="H35" s="2">
        <f t="shared" si="23"/>
        <v>16.54</v>
      </c>
      <c r="I35" s="2">
        <v>1.5</v>
      </c>
      <c r="J35" s="9">
        <f t="shared" si="18"/>
        <v>18.04</v>
      </c>
      <c r="K35" s="195">
        <v>0.05</v>
      </c>
      <c r="L35" s="9">
        <f t="shared" si="19"/>
        <v>18.940000000000001</v>
      </c>
      <c r="M35" s="258">
        <v>0.03</v>
      </c>
      <c r="N35" s="256">
        <f t="shared" si="20"/>
        <v>19.510000000000002</v>
      </c>
      <c r="O35" s="6">
        <v>2080</v>
      </c>
      <c r="P35" s="9">
        <f t="shared" si="21"/>
        <v>1185.6000000000006</v>
      </c>
      <c r="Q35" s="2">
        <f t="shared" si="22"/>
        <v>40580.800000000003</v>
      </c>
      <c r="R35" s="32"/>
      <c r="S35" s="21"/>
      <c r="T35" s="11"/>
      <c r="U35" s="11"/>
      <c r="V35" s="11"/>
      <c r="W35" s="11"/>
      <c r="X35" s="45"/>
      <c r="Y35" s="203"/>
    </row>
    <row r="36" spans="1:25" ht="12" customHeight="1" x14ac:dyDescent="0.25">
      <c r="A36" s="43" t="s">
        <v>5</v>
      </c>
      <c r="B36" s="1" t="s">
        <v>162</v>
      </c>
      <c r="C36" s="108">
        <v>43185</v>
      </c>
      <c r="D36" s="6" t="s">
        <v>163</v>
      </c>
      <c r="E36" s="6"/>
      <c r="F36" s="2">
        <v>16.170000000000002</v>
      </c>
      <c r="G36" s="2">
        <v>1.5</v>
      </c>
      <c r="H36" s="2">
        <f t="shared" si="23"/>
        <v>17.670000000000002</v>
      </c>
      <c r="I36" s="2">
        <v>1.5</v>
      </c>
      <c r="J36" s="9">
        <f t="shared" si="18"/>
        <v>19.170000000000002</v>
      </c>
      <c r="K36" s="195">
        <v>0.05</v>
      </c>
      <c r="L36" s="9">
        <f t="shared" ref="L36:L39" si="24">ROUND(SUM(J36*K36)+J36,2)</f>
        <v>20.13</v>
      </c>
      <c r="M36" s="258">
        <v>0.03</v>
      </c>
      <c r="N36" s="256">
        <f t="shared" si="20"/>
        <v>20.73</v>
      </c>
      <c r="O36" s="6">
        <v>2080</v>
      </c>
      <c r="P36" s="9">
        <f t="shared" ref="P36:P39" si="25">SUM(N36-L36)*O36</f>
        <v>1248.000000000003</v>
      </c>
      <c r="Q36" s="2">
        <f t="shared" si="22"/>
        <v>43118.400000000001</v>
      </c>
      <c r="R36" s="28"/>
      <c r="S36" s="12"/>
      <c r="T36" s="11"/>
      <c r="U36" s="12"/>
      <c r="V36" s="9"/>
      <c r="W36" s="8"/>
      <c r="X36" s="44"/>
      <c r="Y36" s="203"/>
    </row>
    <row r="37" spans="1:25" ht="12" customHeight="1" x14ac:dyDescent="0.25">
      <c r="A37" s="43" t="s">
        <v>9</v>
      </c>
      <c r="B37" s="1" t="s">
        <v>54</v>
      </c>
      <c r="C37" s="108">
        <v>41845</v>
      </c>
      <c r="D37" s="6" t="s">
        <v>20</v>
      </c>
      <c r="E37" s="6"/>
      <c r="F37" s="2">
        <v>17.11</v>
      </c>
      <c r="G37" s="2">
        <v>1.5</v>
      </c>
      <c r="H37" s="2">
        <f t="shared" si="23"/>
        <v>18.61</v>
      </c>
      <c r="I37" s="2">
        <v>1.5</v>
      </c>
      <c r="J37" s="9">
        <f t="shared" si="18"/>
        <v>20.11</v>
      </c>
      <c r="K37" s="195">
        <v>0.05</v>
      </c>
      <c r="L37" s="9">
        <f t="shared" si="24"/>
        <v>21.12</v>
      </c>
      <c r="M37" s="258">
        <v>0.03</v>
      </c>
      <c r="N37" s="256">
        <f t="shared" si="20"/>
        <v>21.75</v>
      </c>
      <c r="O37" s="6">
        <v>2080</v>
      </c>
      <c r="P37" s="9">
        <f t="shared" si="25"/>
        <v>1310.3999999999978</v>
      </c>
      <c r="Q37" s="2">
        <f t="shared" si="22"/>
        <v>45240</v>
      </c>
      <c r="R37" s="33"/>
      <c r="S37" s="8"/>
      <c r="T37" s="9"/>
      <c r="U37" s="9"/>
      <c r="V37" s="11"/>
      <c r="W37" s="11"/>
      <c r="X37" s="45"/>
      <c r="Y37" s="203"/>
    </row>
    <row r="38" spans="1:25" ht="12" customHeight="1" x14ac:dyDescent="0.25">
      <c r="A38" s="43" t="s">
        <v>62</v>
      </c>
      <c r="B38" s="1" t="s">
        <v>55</v>
      </c>
      <c r="C38" s="108">
        <v>43313</v>
      </c>
      <c r="D38" s="6" t="s">
        <v>31</v>
      </c>
      <c r="E38" s="6" t="s">
        <v>70</v>
      </c>
      <c r="F38" s="2">
        <v>15.93</v>
      </c>
      <c r="G38" s="2">
        <v>1.5</v>
      </c>
      <c r="H38" s="2">
        <f t="shared" si="23"/>
        <v>17.43</v>
      </c>
      <c r="I38" s="2">
        <v>1.5</v>
      </c>
      <c r="J38" s="9">
        <f t="shared" si="18"/>
        <v>18.93</v>
      </c>
      <c r="K38" s="195">
        <v>0.05</v>
      </c>
      <c r="L38" s="9">
        <f t="shared" si="24"/>
        <v>19.88</v>
      </c>
      <c r="M38" s="258">
        <v>0.03</v>
      </c>
      <c r="N38" s="256">
        <f t="shared" si="20"/>
        <v>20.48</v>
      </c>
      <c r="O38" s="6">
        <v>2080</v>
      </c>
      <c r="P38" s="9">
        <f t="shared" si="25"/>
        <v>1248.000000000003</v>
      </c>
      <c r="Q38" s="2">
        <f t="shared" si="22"/>
        <v>42598.400000000001</v>
      </c>
      <c r="R38" s="28"/>
      <c r="S38" s="12"/>
      <c r="T38" s="11"/>
      <c r="U38" s="11"/>
      <c r="V38" s="11"/>
      <c r="W38" s="11"/>
      <c r="X38" s="45"/>
      <c r="Y38" s="203"/>
    </row>
    <row r="39" spans="1:25" ht="12" customHeight="1" x14ac:dyDescent="0.25">
      <c r="A39" s="47" t="s">
        <v>4</v>
      </c>
      <c r="B39" s="20" t="s">
        <v>48</v>
      </c>
      <c r="C39" s="115">
        <v>43957</v>
      </c>
      <c r="D39" s="22" t="s">
        <v>157</v>
      </c>
      <c r="E39" s="22" t="s">
        <v>158</v>
      </c>
      <c r="F39" s="23">
        <v>14.88</v>
      </c>
      <c r="G39" s="9">
        <v>1.99</v>
      </c>
      <c r="H39" s="9">
        <f t="shared" si="23"/>
        <v>16.87</v>
      </c>
      <c r="I39" s="2">
        <v>1.5</v>
      </c>
      <c r="J39" s="9">
        <f>SUM(H39+I39)</f>
        <v>18.37</v>
      </c>
      <c r="K39" s="195">
        <v>0.05</v>
      </c>
      <c r="L39" s="9">
        <f t="shared" si="24"/>
        <v>19.29</v>
      </c>
      <c r="M39" s="258">
        <v>0.03</v>
      </c>
      <c r="N39" s="256">
        <f t="shared" si="20"/>
        <v>19.87</v>
      </c>
      <c r="O39" s="6">
        <v>2080</v>
      </c>
      <c r="P39" s="9">
        <f t="shared" si="25"/>
        <v>1206.4000000000037</v>
      </c>
      <c r="Q39" s="2">
        <f>N39*O39</f>
        <v>41329.599999999999</v>
      </c>
      <c r="R39" s="34"/>
      <c r="S39" s="23"/>
      <c r="T39" s="11"/>
      <c r="U39" s="11"/>
      <c r="V39" s="11"/>
      <c r="W39" s="11"/>
      <c r="X39" s="45"/>
      <c r="Y39" s="203"/>
    </row>
    <row r="40" spans="1:25" ht="12" customHeight="1" x14ac:dyDescent="0.25">
      <c r="A40" s="48" t="s">
        <v>60</v>
      </c>
      <c r="B40" s="24"/>
      <c r="C40" s="24"/>
      <c r="D40" s="3" t="s">
        <v>15</v>
      </c>
      <c r="E40" s="35"/>
      <c r="F40" s="4"/>
      <c r="G40" s="3"/>
      <c r="H40" s="3"/>
      <c r="I40" s="3"/>
      <c r="J40" s="219"/>
      <c r="K40" s="3"/>
      <c r="L40" s="242">
        <v>19.43</v>
      </c>
      <c r="M40" s="307"/>
      <c r="N40" s="313"/>
      <c r="O40" s="225"/>
      <c r="P40" s="3"/>
      <c r="Q40" s="3"/>
      <c r="R40" s="194">
        <v>19.239999999999998</v>
      </c>
      <c r="S40" s="5">
        <f>R40*1.02</f>
        <v>19.6248</v>
      </c>
      <c r="T40" s="5">
        <f>S40*1.02</f>
        <v>20.017296000000002</v>
      </c>
      <c r="U40" s="5">
        <f>T40*1.02</f>
        <v>20.417641920000001</v>
      </c>
      <c r="V40" s="5">
        <f>U40*1.02</f>
        <v>20.8259947584</v>
      </c>
      <c r="W40" s="5">
        <f>V40*1.02</f>
        <v>21.242514653568001</v>
      </c>
      <c r="X40" s="42"/>
      <c r="Y40" s="302">
        <f>ROUND(L40,2)</f>
        <v>19.43</v>
      </c>
    </row>
    <row r="41" spans="1:25" ht="12.75" customHeight="1" x14ac:dyDescent="0.25">
      <c r="A41" s="248" t="s">
        <v>285</v>
      </c>
      <c r="B41" s="251" t="s">
        <v>256</v>
      </c>
      <c r="C41" s="114">
        <v>44134</v>
      </c>
      <c r="D41" s="219"/>
      <c r="E41" s="220"/>
      <c r="F41" s="8"/>
      <c r="G41" s="219"/>
      <c r="H41" s="219"/>
      <c r="I41" s="219"/>
      <c r="J41" s="249">
        <v>25.53</v>
      </c>
      <c r="K41" s="224">
        <v>0.05</v>
      </c>
      <c r="L41" s="9">
        <f t="shared" ref="L41:L46" si="26">ROUND(SUM(J41*K41)+J41,2)</f>
        <v>26.81</v>
      </c>
      <c r="M41" s="258">
        <v>0.03</v>
      </c>
      <c r="N41" s="256">
        <f t="shared" ref="N41:N45" si="27">ROUND(SUM(M41*L41)+L41,2)</f>
        <v>27.61</v>
      </c>
      <c r="O41" s="250">
        <v>1248</v>
      </c>
      <c r="P41" s="9">
        <f>SUM(N41-L41)*O41</f>
        <v>998.40000000000089</v>
      </c>
      <c r="Q41" s="2">
        <f t="shared" ref="Q41:Q46" si="28">N41*O41</f>
        <v>34457.279999999999</v>
      </c>
      <c r="R41" s="216"/>
      <c r="S41" s="217"/>
      <c r="T41" s="217"/>
      <c r="U41" s="217"/>
      <c r="V41" s="217"/>
      <c r="W41" s="217"/>
      <c r="X41" s="217"/>
      <c r="Y41" s="207"/>
    </row>
    <row r="42" spans="1:25" ht="12.75" customHeight="1" x14ac:dyDescent="0.25">
      <c r="A42" s="248" t="s">
        <v>284</v>
      </c>
      <c r="B42" s="251" t="s">
        <v>256</v>
      </c>
      <c r="C42" s="114">
        <v>44134</v>
      </c>
      <c r="D42" s="219"/>
      <c r="E42" s="220"/>
      <c r="F42" s="8"/>
      <c r="G42" s="219"/>
      <c r="H42" s="219"/>
      <c r="I42" s="219"/>
      <c r="J42" s="249"/>
      <c r="K42" s="224"/>
      <c r="L42" s="9">
        <v>26.81</v>
      </c>
      <c r="M42" s="258">
        <v>0.03</v>
      </c>
      <c r="N42" s="256">
        <f t="shared" si="27"/>
        <v>27.61</v>
      </c>
      <c r="O42" s="250">
        <v>416</v>
      </c>
      <c r="P42" s="9">
        <f>SUM(N42-L42)*O42</f>
        <v>332.8000000000003</v>
      </c>
      <c r="Q42" s="2">
        <f>N42*O42</f>
        <v>11485.76</v>
      </c>
      <c r="R42" s="216"/>
      <c r="S42" s="217"/>
      <c r="T42" s="217"/>
      <c r="U42" s="217"/>
      <c r="V42" s="217"/>
      <c r="W42" s="217"/>
      <c r="X42" s="217"/>
      <c r="Y42" s="207"/>
    </row>
    <row r="43" spans="1:25" ht="12" customHeight="1" x14ac:dyDescent="0.25">
      <c r="A43" s="248" t="s">
        <v>282</v>
      </c>
      <c r="B43" s="252" t="s">
        <v>265</v>
      </c>
      <c r="C43" s="254">
        <v>45572</v>
      </c>
      <c r="D43" s="219"/>
      <c r="E43" s="220"/>
      <c r="F43" s="8"/>
      <c r="G43" s="219"/>
      <c r="H43" s="219"/>
      <c r="I43" s="219"/>
      <c r="J43" s="242">
        <v>32</v>
      </c>
      <c r="K43" s="224">
        <v>0.05</v>
      </c>
      <c r="L43" s="9">
        <v>21</v>
      </c>
      <c r="M43" s="258">
        <v>0.03</v>
      </c>
      <c r="N43" s="256">
        <f t="shared" si="27"/>
        <v>21.63</v>
      </c>
      <c r="O43" s="250">
        <v>832</v>
      </c>
      <c r="P43" s="9">
        <f>SUM(N43-L43)*O43</f>
        <v>524.15999999999917</v>
      </c>
      <c r="Q43" s="2">
        <f t="shared" si="28"/>
        <v>17996.16</v>
      </c>
      <c r="R43" s="216"/>
      <c r="S43" s="217"/>
      <c r="T43" s="217"/>
      <c r="U43" s="217"/>
      <c r="V43" s="217"/>
      <c r="W43" s="217"/>
      <c r="X43" s="217"/>
      <c r="Y43" s="207"/>
    </row>
    <row r="44" spans="1:25" ht="12.75" customHeight="1" x14ac:dyDescent="0.25">
      <c r="A44" s="218" t="s">
        <v>283</v>
      </c>
      <c r="B44" s="221" t="s">
        <v>257</v>
      </c>
      <c r="C44" s="108">
        <v>44200</v>
      </c>
      <c r="D44" s="1"/>
      <c r="E44" s="1"/>
      <c r="F44" s="1"/>
      <c r="G44" s="1"/>
      <c r="H44" s="1"/>
      <c r="I44" s="1"/>
      <c r="J44" s="11">
        <v>32</v>
      </c>
      <c r="K44" s="223">
        <v>0.05</v>
      </c>
      <c r="L44" s="9">
        <v>32.159999999999997</v>
      </c>
      <c r="M44" s="258">
        <v>0.03</v>
      </c>
      <c r="N44" s="256">
        <f t="shared" si="27"/>
        <v>33.119999999999997</v>
      </c>
      <c r="O44" s="253">
        <v>832</v>
      </c>
      <c r="P44" s="9">
        <f t="shared" ref="P44:P45" si="29">SUM(N44-L44)*O44</f>
        <v>798.72000000000071</v>
      </c>
      <c r="Q44" s="2">
        <f>N44*O44</f>
        <v>27555.839999999997</v>
      </c>
      <c r="R44" s="222"/>
      <c r="S44" s="222"/>
      <c r="T44" s="222"/>
      <c r="U44" s="222"/>
      <c r="V44" s="222"/>
      <c r="W44" s="222"/>
      <c r="X44" s="222"/>
      <c r="Y44" s="311"/>
    </row>
    <row r="45" spans="1:25" ht="12" customHeight="1" x14ac:dyDescent="0.25">
      <c r="A45" s="43" t="s">
        <v>226</v>
      </c>
      <c r="B45" s="13" t="s">
        <v>258</v>
      </c>
      <c r="C45" s="108">
        <v>45054</v>
      </c>
      <c r="D45" s="14"/>
      <c r="E45" s="14"/>
      <c r="F45" s="9"/>
      <c r="G45" s="2"/>
      <c r="H45" s="2"/>
      <c r="I45" s="2"/>
      <c r="J45" s="9">
        <v>24.04</v>
      </c>
      <c r="K45" s="195">
        <v>0.05</v>
      </c>
      <c r="L45" s="9">
        <f t="shared" si="26"/>
        <v>25.24</v>
      </c>
      <c r="M45" s="258">
        <v>0.03</v>
      </c>
      <c r="N45" s="256">
        <f t="shared" si="27"/>
        <v>26</v>
      </c>
      <c r="O45" s="7">
        <v>2080</v>
      </c>
      <c r="P45" s="9">
        <f t="shared" si="29"/>
        <v>1580.8000000000034</v>
      </c>
      <c r="Q45" s="2">
        <f t="shared" si="28"/>
        <v>54080</v>
      </c>
      <c r="R45" s="194"/>
      <c r="S45" s="5"/>
      <c r="T45" s="5"/>
      <c r="U45" s="5"/>
      <c r="V45" s="5"/>
      <c r="W45" s="5"/>
      <c r="X45" s="308"/>
      <c r="Y45" s="207"/>
    </row>
    <row r="46" spans="1:25" s="56" customFormat="1" ht="12" customHeight="1" x14ac:dyDescent="0.25">
      <c r="A46" s="43" t="s">
        <v>11</v>
      </c>
      <c r="B46" s="1" t="s">
        <v>61</v>
      </c>
      <c r="C46" s="108">
        <v>35298</v>
      </c>
      <c r="D46" s="1" t="s">
        <v>21</v>
      </c>
      <c r="E46" s="6"/>
      <c r="F46" s="25">
        <v>22.16</v>
      </c>
      <c r="G46" s="25">
        <v>1.5</v>
      </c>
      <c r="H46" s="25">
        <f>F46+G46</f>
        <v>23.66</v>
      </c>
      <c r="I46" s="2">
        <v>1.5</v>
      </c>
      <c r="J46" s="9">
        <f>SUM(H46+I46)</f>
        <v>25.16</v>
      </c>
      <c r="K46" s="195">
        <v>0.05</v>
      </c>
      <c r="L46" s="9">
        <f t="shared" si="26"/>
        <v>26.42</v>
      </c>
      <c r="M46" s="258">
        <v>0.03</v>
      </c>
      <c r="N46" s="256">
        <f>ROUND(SUM(M46*L46)+L46,2)</f>
        <v>27.21</v>
      </c>
      <c r="O46" s="1">
        <v>2080</v>
      </c>
      <c r="P46" s="9">
        <f>SUM(N46-L46)*O46</f>
        <v>1643.1999999999982</v>
      </c>
      <c r="Q46" s="2">
        <f t="shared" si="28"/>
        <v>56596.800000000003</v>
      </c>
      <c r="R46" s="29"/>
      <c r="S46" s="9"/>
      <c r="T46" s="9"/>
      <c r="U46" s="9"/>
      <c r="V46" s="9"/>
      <c r="W46" s="9"/>
      <c r="X46" s="309"/>
      <c r="Y46" s="205"/>
    </row>
    <row r="47" spans="1:25" ht="15" customHeight="1" thickBot="1" x14ac:dyDescent="0.3">
      <c r="A47" s="57" t="s">
        <v>138</v>
      </c>
      <c r="B47" s="58"/>
      <c r="C47" s="58"/>
      <c r="D47" s="59"/>
      <c r="E47" s="60"/>
      <c r="F47" s="61"/>
      <c r="G47" s="59"/>
      <c r="H47" s="59"/>
      <c r="I47" s="59"/>
      <c r="J47" s="59"/>
      <c r="K47" s="59"/>
      <c r="L47" s="259"/>
      <c r="M47" s="257"/>
      <c r="N47" s="257"/>
      <c r="O47" s="59"/>
      <c r="P47" s="62">
        <f>SUM(P3:P46)</f>
        <v>35595.390000000065</v>
      </c>
      <c r="Q47" s="62">
        <f>SUM(Q3:Q46)</f>
        <v>1270392.1800000002</v>
      </c>
      <c r="R47" s="59"/>
      <c r="S47" s="59"/>
      <c r="T47" s="59"/>
      <c r="U47" s="59"/>
      <c r="V47" s="59"/>
      <c r="W47" s="59"/>
      <c r="X47" s="310"/>
      <c r="Y47" s="203"/>
    </row>
    <row r="48" spans="1:25" ht="16.5" customHeight="1" x14ac:dyDescent="0.25">
      <c r="A48" s="327" t="s">
        <v>236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228"/>
      <c r="R48" s="228"/>
      <c r="S48" s="228"/>
      <c r="T48" s="228"/>
      <c r="U48" s="228"/>
      <c r="V48" s="228"/>
      <c r="W48" s="228"/>
      <c r="X48" s="228"/>
      <c r="Y48" s="312"/>
    </row>
  </sheetData>
  <mergeCells count="1">
    <mergeCell ref="A48:P48"/>
  </mergeCells>
  <pageMargins left="0" right="0" top="0.75" bottom="0.25" header="0.3" footer="0.3"/>
  <pageSetup orientation="portrait" r:id="rId1"/>
  <headerFooter>
    <oddHeader>&amp;CCuster County Hourly Office Employees
2025&amp;RRevised 1/7/25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view="pageLayout" topLeftCell="A2" zoomScale="150" zoomScaleNormal="125" zoomScalePageLayoutView="150" workbookViewId="0">
      <selection activeCell="M19" sqref="M19"/>
    </sheetView>
  </sheetViews>
  <sheetFormatPr defaultColWidth="9.140625" defaultRowHeight="15" x14ac:dyDescent="0.25"/>
  <cols>
    <col min="1" max="1" width="16.7109375" customWidth="1"/>
    <col min="2" max="2" width="10.85546875" customWidth="1"/>
    <col min="3" max="3" width="8.85546875" customWidth="1"/>
    <col min="4" max="4" width="5.85546875" hidden="1" customWidth="1"/>
    <col min="5" max="5" width="6.42578125" hidden="1" customWidth="1"/>
    <col min="6" max="6" width="10.5703125" hidden="1" customWidth="1"/>
    <col min="7" max="7" width="6.5703125" style="196" hidden="1" customWidth="1"/>
    <col min="8" max="8" width="10" bestFit="1" customWidth="1"/>
    <col min="9" max="9" width="4.5703125" customWidth="1"/>
    <col min="10" max="10" width="10" customWidth="1"/>
    <col min="11" max="11" width="4.85546875" bestFit="1" customWidth="1"/>
    <col min="12" max="12" width="9.28515625" customWidth="1"/>
    <col min="13" max="13" width="11.5703125" customWidth="1"/>
    <col min="14" max="14" width="11.28515625" customWidth="1"/>
    <col min="15" max="15" width="11.140625" hidden="1" customWidth="1"/>
    <col min="16" max="19" width="6.28515625" hidden="1" customWidth="1"/>
  </cols>
  <sheetData>
    <row r="1" spans="1:19" ht="24" thickBot="1" x14ac:dyDescent="0.3">
      <c r="A1" s="36" t="s">
        <v>56</v>
      </c>
      <c r="B1" s="37" t="s">
        <v>37</v>
      </c>
      <c r="C1" s="37" t="s">
        <v>168</v>
      </c>
      <c r="D1" s="38" t="s">
        <v>39</v>
      </c>
      <c r="E1" s="37" t="s">
        <v>38</v>
      </c>
      <c r="F1" s="37" t="s">
        <v>170</v>
      </c>
      <c r="G1" s="37" t="s">
        <v>38</v>
      </c>
      <c r="H1" s="37" t="s">
        <v>211</v>
      </c>
      <c r="I1" s="37" t="s">
        <v>267</v>
      </c>
      <c r="J1" s="255" t="s">
        <v>270</v>
      </c>
      <c r="K1" s="37" t="s">
        <v>131</v>
      </c>
      <c r="L1" s="37" t="s">
        <v>151</v>
      </c>
      <c r="M1" s="37" t="s">
        <v>268</v>
      </c>
      <c r="N1" s="260" t="s">
        <v>280</v>
      </c>
      <c r="O1" s="39">
        <v>1</v>
      </c>
      <c r="P1" s="39">
        <v>2</v>
      </c>
      <c r="Q1" s="39">
        <v>3</v>
      </c>
      <c r="R1" s="39">
        <v>4</v>
      </c>
      <c r="S1" s="39">
        <v>5</v>
      </c>
    </row>
    <row r="2" spans="1:19" x14ac:dyDescent="0.25">
      <c r="A2" s="41"/>
      <c r="B2" s="3"/>
      <c r="C2" s="3"/>
      <c r="D2" s="4"/>
      <c r="E2" s="3"/>
      <c r="F2" s="3"/>
      <c r="G2" s="3"/>
      <c r="H2" s="316">
        <v>23.18</v>
      </c>
      <c r="I2" s="306"/>
      <c r="J2" s="316"/>
      <c r="K2" s="3"/>
      <c r="L2" s="3"/>
      <c r="M2" s="3"/>
      <c r="N2" s="317">
        <f>ROUND(H2,2)</f>
        <v>23.18</v>
      </c>
      <c r="O2" s="5">
        <f>N2*1.02</f>
        <v>23.643599999999999</v>
      </c>
      <c r="P2" s="5">
        <f>O2*1.02</f>
        <v>24.116471999999998</v>
      </c>
      <c r="Q2" s="5">
        <f>P2*1.02</f>
        <v>24.598801439999999</v>
      </c>
      <c r="R2" s="5">
        <f>Q2*1.02</f>
        <v>25.090777468799999</v>
      </c>
      <c r="S2" s="5">
        <f>R2*1.02</f>
        <v>25.592593018176</v>
      </c>
    </row>
    <row r="3" spans="1:19" x14ac:dyDescent="0.25">
      <c r="A3" s="43" t="s">
        <v>135</v>
      </c>
      <c r="B3" s="1" t="s">
        <v>75</v>
      </c>
      <c r="C3" s="108">
        <v>39748</v>
      </c>
      <c r="D3" s="2">
        <v>25.53</v>
      </c>
      <c r="E3" s="2">
        <v>1.5</v>
      </c>
      <c r="F3" s="9">
        <f t="shared" ref="F3:F15" si="0">SUM(D3+E3)</f>
        <v>27.03</v>
      </c>
      <c r="G3" s="9">
        <f t="shared" ref="G3:G9" si="1">ROUND(SUM(F3*5%),2)</f>
        <v>1.35</v>
      </c>
      <c r="H3" s="9">
        <f>ROUND(SUM(F3+G3),2)</f>
        <v>28.38</v>
      </c>
      <c r="I3" s="198">
        <v>0.03</v>
      </c>
      <c r="J3" s="256">
        <f>ROUND(SUM(I3*H3)+H3,2)</f>
        <v>29.23</v>
      </c>
      <c r="K3" s="7">
        <v>2080</v>
      </c>
      <c r="L3" s="2">
        <f>SUM(J3-H3)*K3</f>
        <v>1768.000000000003</v>
      </c>
      <c r="M3" s="2">
        <f>J3*K3</f>
        <v>60798.400000000001</v>
      </c>
      <c r="N3" s="26"/>
      <c r="O3" s="200"/>
      <c r="P3" s="9"/>
      <c r="Q3" s="9"/>
      <c r="R3" s="9"/>
      <c r="S3" s="9"/>
    </row>
    <row r="4" spans="1:19" x14ac:dyDescent="0.25">
      <c r="A4" s="43" t="s">
        <v>73</v>
      </c>
      <c r="B4" s="1" t="s">
        <v>76</v>
      </c>
      <c r="C4" s="108">
        <v>36803</v>
      </c>
      <c r="D4" s="2">
        <v>24.51</v>
      </c>
      <c r="E4" s="2">
        <v>1.5</v>
      </c>
      <c r="F4" s="9">
        <f t="shared" si="0"/>
        <v>26.01</v>
      </c>
      <c r="G4" s="9">
        <f t="shared" si="1"/>
        <v>1.3</v>
      </c>
      <c r="H4" s="9">
        <f>ROUND(SUM(F4+G4),2)</f>
        <v>27.31</v>
      </c>
      <c r="I4" s="198">
        <v>0.03</v>
      </c>
      <c r="J4" s="256">
        <f t="shared" ref="J4:J15" si="2">ROUND(SUM(I4*H4)+H4,2)</f>
        <v>28.13</v>
      </c>
      <c r="K4" s="7">
        <v>2080</v>
      </c>
      <c r="L4" s="2">
        <f t="shared" ref="L4:L17" si="3">SUM(J4-H4)*K4</f>
        <v>1705.6000000000006</v>
      </c>
      <c r="M4" s="2">
        <f t="shared" ref="M4:M14" si="4">J4*K4</f>
        <v>58510.400000000001</v>
      </c>
      <c r="N4" s="26"/>
      <c r="O4" s="9"/>
      <c r="P4" s="9"/>
      <c r="Q4" s="9"/>
      <c r="R4" s="9"/>
      <c r="S4" s="9"/>
    </row>
    <row r="5" spans="1:19" x14ac:dyDescent="0.25">
      <c r="A5" s="43" t="s">
        <v>73</v>
      </c>
      <c r="B5" s="1" t="s">
        <v>81</v>
      </c>
      <c r="C5" s="108">
        <v>43321</v>
      </c>
      <c r="D5" s="9">
        <v>23.98</v>
      </c>
      <c r="E5" s="2">
        <v>1.5</v>
      </c>
      <c r="F5" s="9">
        <f t="shared" si="0"/>
        <v>25.48</v>
      </c>
      <c r="G5" s="9">
        <f t="shared" si="1"/>
        <v>1.27</v>
      </c>
      <c r="H5" s="9">
        <f>ROUND(SUM(F5+G5),2)</f>
        <v>26.75</v>
      </c>
      <c r="I5" s="198">
        <v>0.03</v>
      </c>
      <c r="J5" s="256">
        <f t="shared" si="2"/>
        <v>27.55</v>
      </c>
      <c r="K5" s="7">
        <v>2080</v>
      </c>
      <c r="L5" s="2">
        <f t="shared" si="3"/>
        <v>1664.0000000000014</v>
      </c>
      <c r="M5" s="2">
        <f t="shared" si="4"/>
        <v>57304</v>
      </c>
      <c r="N5" s="27"/>
      <c r="O5" s="8"/>
      <c r="P5" s="9"/>
      <c r="Q5" s="9"/>
      <c r="R5" s="9"/>
      <c r="S5" s="9"/>
    </row>
    <row r="6" spans="1:19" x14ac:dyDescent="0.25">
      <c r="A6" s="43" t="s">
        <v>73</v>
      </c>
      <c r="B6" s="1" t="s">
        <v>77</v>
      </c>
      <c r="C6" s="108">
        <v>42620</v>
      </c>
      <c r="D6" s="9">
        <v>22.43</v>
      </c>
      <c r="E6" s="2">
        <v>1.5</v>
      </c>
      <c r="F6" s="9">
        <f t="shared" si="0"/>
        <v>23.93</v>
      </c>
      <c r="G6" s="9">
        <f t="shared" si="1"/>
        <v>1.2</v>
      </c>
      <c r="H6" s="9">
        <f>ROUND(SUM(F6+G6),2)</f>
        <v>25.13</v>
      </c>
      <c r="I6" s="198">
        <v>0.02</v>
      </c>
      <c r="J6" s="256">
        <f t="shared" si="2"/>
        <v>25.63</v>
      </c>
      <c r="K6" s="7">
        <v>2080</v>
      </c>
      <c r="L6" s="2">
        <f t="shared" si="3"/>
        <v>1040</v>
      </c>
      <c r="M6" s="2">
        <f t="shared" si="4"/>
        <v>53310.400000000001</v>
      </c>
      <c r="N6" s="27"/>
      <c r="O6" s="8"/>
      <c r="P6" s="9"/>
      <c r="Q6" s="9"/>
      <c r="R6" s="9"/>
      <c r="S6" s="9"/>
    </row>
    <row r="7" spans="1:19" x14ac:dyDescent="0.25">
      <c r="A7" s="43" t="s">
        <v>73</v>
      </c>
      <c r="B7" s="1" t="s">
        <v>78</v>
      </c>
      <c r="C7" s="108">
        <v>44305</v>
      </c>
      <c r="D7" s="9">
        <v>22.43</v>
      </c>
      <c r="E7" s="2">
        <v>1.5</v>
      </c>
      <c r="F7" s="9">
        <f t="shared" si="0"/>
        <v>23.93</v>
      </c>
      <c r="G7" s="9">
        <f t="shared" si="1"/>
        <v>1.2</v>
      </c>
      <c r="H7" s="9">
        <f>ROUND(SUM(F7+G7),2)</f>
        <v>25.13</v>
      </c>
      <c r="I7" s="198">
        <v>0.03</v>
      </c>
      <c r="J7" s="256">
        <f t="shared" si="2"/>
        <v>25.88</v>
      </c>
      <c r="K7" s="7">
        <v>2080</v>
      </c>
      <c r="L7" s="2">
        <f t="shared" si="3"/>
        <v>1560</v>
      </c>
      <c r="M7" s="2">
        <f t="shared" si="4"/>
        <v>53830.400000000001</v>
      </c>
      <c r="N7" s="27"/>
      <c r="O7" s="9"/>
      <c r="P7" s="8"/>
      <c r="Q7" s="9"/>
      <c r="R7" s="9"/>
      <c r="S7" s="9"/>
    </row>
    <row r="8" spans="1:19" x14ac:dyDescent="0.25">
      <c r="A8" s="43" t="s">
        <v>73</v>
      </c>
      <c r="B8" s="1" t="s">
        <v>246</v>
      </c>
      <c r="C8" s="108">
        <v>45357</v>
      </c>
      <c r="D8" s="9">
        <v>22.5</v>
      </c>
      <c r="E8" s="2">
        <v>1.5</v>
      </c>
      <c r="F8" s="9">
        <v>22.5</v>
      </c>
      <c r="G8" s="9">
        <f t="shared" si="1"/>
        <v>1.1299999999999999</v>
      </c>
      <c r="H8" s="9">
        <v>23.18</v>
      </c>
      <c r="I8" s="198">
        <v>0.03</v>
      </c>
      <c r="J8" s="256">
        <f t="shared" si="2"/>
        <v>23.88</v>
      </c>
      <c r="K8" s="7">
        <v>2080</v>
      </c>
      <c r="L8" s="2">
        <f t="shared" si="3"/>
        <v>1455.9999999999986</v>
      </c>
      <c r="M8" s="2">
        <f t="shared" si="4"/>
        <v>49670.400000000001</v>
      </c>
      <c r="N8" s="27"/>
      <c r="O8" s="8"/>
      <c r="P8" s="9"/>
      <c r="Q8" s="9"/>
      <c r="R8" s="9"/>
      <c r="S8" s="9"/>
    </row>
    <row r="9" spans="1:19" x14ac:dyDescent="0.25">
      <c r="A9" s="43" t="s">
        <v>73</v>
      </c>
      <c r="B9" s="1" t="s">
        <v>221</v>
      </c>
      <c r="C9" s="108">
        <v>45175</v>
      </c>
      <c r="D9" s="9"/>
      <c r="E9" s="2"/>
      <c r="F9" s="9">
        <v>22</v>
      </c>
      <c r="G9" s="9">
        <f t="shared" si="1"/>
        <v>1.1000000000000001</v>
      </c>
      <c r="H9" s="9">
        <f>ROUND(SUM(F9+G9),2)+0.08</f>
        <v>23.18</v>
      </c>
      <c r="I9" s="198">
        <v>0.03</v>
      </c>
      <c r="J9" s="256">
        <f t="shared" si="2"/>
        <v>23.88</v>
      </c>
      <c r="K9" s="7">
        <v>2080</v>
      </c>
      <c r="L9" s="2">
        <f t="shared" si="3"/>
        <v>1455.9999999999986</v>
      </c>
      <c r="M9" s="2">
        <f t="shared" si="4"/>
        <v>49670.400000000001</v>
      </c>
      <c r="N9" s="27"/>
      <c r="O9" s="8"/>
      <c r="P9" s="9"/>
      <c r="Q9" s="9"/>
      <c r="R9" s="9"/>
      <c r="S9" s="9"/>
    </row>
    <row r="10" spans="1:19" x14ac:dyDescent="0.25">
      <c r="A10" s="43" t="s">
        <v>73</v>
      </c>
      <c r="B10" s="1" t="s">
        <v>253</v>
      </c>
      <c r="C10" s="108">
        <v>45449</v>
      </c>
      <c r="D10" s="9">
        <v>21</v>
      </c>
      <c r="E10" s="2">
        <v>1.5</v>
      </c>
      <c r="F10" s="9">
        <f t="shared" si="0"/>
        <v>22.5</v>
      </c>
      <c r="G10" s="9">
        <f t="shared" ref="G10:G15" si="5">ROUND(SUM(F10*5%),2)</f>
        <v>1.1299999999999999</v>
      </c>
      <c r="H10" s="9">
        <v>23.18</v>
      </c>
      <c r="I10" s="198">
        <v>0.03</v>
      </c>
      <c r="J10" s="256">
        <f t="shared" si="2"/>
        <v>23.88</v>
      </c>
      <c r="K10" s="7">
        <v>2080</v>
      </c>
      <c r="L10" s="2">
        <f t="shared" si="3"/>
        <v>1455.9999999999986</v>
      </c>
      <c r="M10" s="2">
        <f t="shared" si="4"/>
        <v>49670.400000000001</v>
      </c>
      <c r="N10" s="27"/>
      <c r="O10" s="9"/>
      <c r="P10" s="9"/>
      <c r="Q10" s="9"/>
      <c r="R10" s="9"/>
      <c r="S10" s="9"/>
    </row>
    <row r="11" spans="1:19" x14ac:dyDescent="0.25">
      <c r="A11" s="43" t="s">
        <v>73</v>
      </c>
      <c r="B11" s="1" t="s">
        <v>79</v>
      </c>
      <c r="C11" s="108">
        <v>43234</v>
      </c>
      <c r="D11" s="9">
        <v>22.43</v>
      </c>
      <c r="E11" s="2">
        <v>1.5</v>
      </c>
      <c r="F11" s="9">
        <f t="shared" si="0"/>
        <v>23.93</v>
      </c>
      <c r="G11" s="9">
        <f t="shared" si="5"/>
        <v>1.2</v>
      </c>
      <c r="H11" s="9">
        <f>ROUND(SUM(F11+G11),2)</f>
        <v>25.13</v>
      </c>
      <c r="I11" s="198">
        <v>0.03</v>
      </c>
      <c r="J11" s="256">
        <f t="shared" si="2"/>
        <v>25.88</v>
      </c>
      <c r="K11" s="7">
        <v>2080</v>
      </c>
      <c r="L11" s="2">
        <f t="shared" si="3"/>
        <v>1560</v>
      </c>
      <c r="M11" s="2">
        <f t="shared" si="4"/>
        <v>53830.400000000001</v>
      </c>
      <c r="N11" s="26"/>
      <c r="O11" s="9"/>
      <c r="P11" s="9"/>
      <c r="Q11" s="9"/>
      <c r="R11" s="9"/>
      <c r="S11" s="9"/>
    </row>
    <row r="12" spans="1:19" x14ac:dyDescent="0.25">
      <c r="A12" s="43" t="s">
        <v>73</v>
      </c>
      <c r="B12" s="1" t="s">
        <v>224</v>
      </c>
      <c r="C12" s="108">
        <v>45068</v>
      </c>
      <c r="D12" s="9">
        <v>22</v>
      </c>
      <c r="E12" s="2">
        <v>1.5</v>
      </c>
      <c r="F12" s="9">
        <v>22</v>
      </c>
      <c r="G12" s="9">
        <f t="shared" si="5"/>
        <v>1.1000000000000001</v>
      </c>
      <c r="H12" s="9">
        <f>ROUND(SUM(F12+G12),2)+0.08</f>
        <v>23.18</v>
      </c>
      <c r="I12" s="198"/>
      <c r="J12" s="256">
        <f t="shared" si="2"/>
        <v>23.18</v>
      </c>
      <c r="K12" s="7">
        <v>2080</v>
      </c>
      <c r="L12" s="2">
        <f t="shared" si="3"/>
        <v>0</v>
      </c>
      <c r="M12" s="2">
        <f>J12*K12</f>
        <v>48214.400000000001</v>
      </c>
      <c r="N12" s="28"/>
      <c r="O12" s="11"/>
      <c r="P12" s="11"/>
      <c r="Q12" s="11"/>
      <c r="R12" s="11"/>
      <c r="S12" s="11"/>
    </row>
    <row r="13" spans="1:19" x14ac:dyDescent="0.25">
      <c r="A13" s="43" t="s">
        <v>73</v>
      </c>
      <c r="B13" s="1" t="s">
        <v>266</v>
      </c>
      <c r="C13" s="108">
        <v>45572</v>
      </c>
      <c r="D13" s="2">
        <v>22.02</v>
      </c>
      <c r="E13" s="2">
        <v>1.5</v>
      </c>
      <c r="F13" s="9">
        <f t="shared" si="0"/>
        <v>23.52</v>
      </c>
      <c r="G13" s="9">
        <f t="shared" si="5"/>
        <v>1.18</v>
      </c>
      <c r="H13" s="9">
        <v>23.18</v>
      </c>
      <c r="I13" s="198">
        <v>0.03</v>
      </c>
      <c r="J13" s="256">
        <f t="shared" si="2"/>
        <v>23.88</v>
      </c>
      <c r="K13" s="7">
        <v>2080</v>
      </c>
      <c r="L13" s="2">
        <f>SUM(J13-H13)*K13</f>
        <v>1455.9999999999986</v>
      </c>
      <c r="M13" s="2">
        <f>J13*K13</f>
        <v>49670.400000000001</v>
      </c>
      <c r="N13" s="28"/>
      <c r="O13" s="11"/>
      <c r="P13" s="12"/>
      <c r="Q13" s="11"/>
      <c r="R13" s="11"/>
      <c r="S13" s="11"/>
    </row>
    <row r="14" spans="1:19" x14ac:dyDescent="0.25">
      <c r="A14" s="43" t="s">
        <v>73</v>
      </c>
      <c r="B14" s="1" t="s">
        <v>80</v>
      </c>
      <c r="C14" s="108">
        <v>41974</v>
      </c>
      <c r="D14" s="2">
        <v>24.91</v>
      </c>
      <c r="E14" s="2">
        <v>1.5</v>
      </c>
      <c r="F14" s="9">
        <f t="shared" si="0"/>
        <v>26.41</v>
      </c>
      <c r="G14" s="9">
        <f t="shared" si="5"/>
        <v>1.32</v>
      </c>
      <c r="H14" s="9">
        <f>ROUND(SUM(F14+G14),2)</f>
        <v>27.73</v>
      </c>
      <c r="I14" s="198">
        <v>0.02</v>
      </c>
      <c r="J14" s="256">
        <f>ROUND(SUM(I14*H14)+H14,2)</f>
        <v>28.28</v>
      </c>
      <c r="K14" s="7">
        <v>2080</v>
      </c>
      <c r="L14" s="2">
        <f t="shared" si="3"/>
        <v>1144.0000000000014</v>
      </c>
      <c r="M14" s="2">
        <f t="shared" si="4"/>
        <v>58822.400000000001</v>
      </c>
      <c r="N14" s="28"/>
      <c r="O14" s="11"/>
      <c r="P14" s="11"/>
      <c r="Q14" s="12"/>
      <c r="R14" s="11"/>
      <c r="S14" s="11"/>
    </row>
    <row r="15" spans="1:19" x14ac:dyDescent="0.25">
      <c r="A15" s="43" t="s">
        <v>167</v>
      </c>
      <c r="B15" s="1" t="s">
        <v>169</v>
      </c>
      <c r="C15" s="108">
        <v>44592</v>
      </c>
      <c r="D15" s="2">
        <v>21</v>
      </c>
      <c r="E15" s="2">
        <v>1.5</v>
      </c>
      <c r="F15" s="9">
        <f t="shared" si="0"/>
        <v>22.5</v>
      </c>
      <c r="G15" s="9">
        <f t="shared" si="5"/>
        <v>1.1299999999999999</v>
      </c>
      <c r="H15" s="9">
        <f>ROUND(SUM(F15+G15),2)</f>
        <v>23.63</v>
      </c>
      <c r="I15" s="198">
        <v>0.03</v>
      </c>
      <c r="J15" s="256">
        <f t="shared" si="2"/>
        <v>24.34</v>
      </c>
      <c r="K15" s="7">
        <v>2080</v>
      </c>
      <c r="L15" s="2">
        <f>SUM(J15-H15)*K15</f>
        <v>1476.8000000000018</v>
      </c>
      <c r="M15" s="2">
        <f>J15*K15</f>
        <v>50627.199999999997</v>
      </c>
      <c r="N15" s="28"/>
      <c r="O15" s="11"/>
      <c r="P15" s="11"/>
      <c r="Q15" s="12"/>
      <c r="R15" s="11"/>
      <c r="S15" s="11"/>
    </row>
    <row r="16" spans="1:19" x14ac:dyDescent="0.25">
      <c r="A16" s="41" t="s">
        <v>59</v>
      </c>
      <c r="B16" s="3" t="s">
        <v>37</v>
      </c>
      <c r="C16" s="3"/>
      <c r="D16" s="35"/>
      <c r="E16" s="4"/>
      <c r="F16" s="3"/>
      <c r="G16" s="3"/>
      <c r="H16" s="201">
        <v>18.579999999999998</v>
      </c>
      <c r="I16" s="318"/>
      <c r="J16" s="201"/>
      <c r="K16" s="3"/>
      <c r="L16" s="3"/>
      <c r="M16" s="3"/>
      <c r="N16" s="317">
        <f>ROUND(H16,2)</f>
        <v>18.579999999999998</v>
      </c>
      <c r="O16" s="3"/>
      <c r="P16" s="3"/>
      <c r="Q16" s="31" t="s">
        <v>174</v>
      </c>
      <c r="R16" s="5" t="s">
        <v>174</v>
      </c>
      <c r="S16" s="5" t="s">
        <v>174</v>
      </c>
    </row>
    <row r="17" spans="1:19" x14ac:dyDescent="0.25">
      <c r="A17" s="43" t="s">
        <v>74</v>
      </c>
      <c r="B17" s="13" t="s">
        <v>259</v>
      </c>
      <c r="C17" s="108">
        <v>44873</v>
      </c>
      <c r="D17" s="9">
        <v>18.04</v>
      </c>
      <c r="E17" s="2">
        <v>0</v>
      </c>
      <c r="F17" s="9">
        <f>SUM(D17+E17)</f>
        <v>18.04</v>
      </c>
      <c r="G17" s="9">
        <f>ROUND(SUM(F17*5%),2)</f>
        <v>0.9</v>
      </c>
      <c r="H17" s="9">
        <f>ROUND(SUM(F17+G17),2)</f>
        <v>18.940000000000001</v>
      </c>
      <c r="I17" s="198">
        <v>0.02</v>
      </c>
      <c r="J17" s="256">
        <f>ROUND(SUM(I17*H17)+H17,2)</f>
        <v>19.32</v>
      </c>
      <c r="K17" s="7">
        <v>2080</v>
      </c>
      <c r="L17" s="2">
        <f t="shared" si="3"/>
        <v>790.39999999999793</v>
      </c>
      <c r="M17" s="2">
        <f>J17*K17</f>
        <v>40185.599999999999</v>
      </c>
      <c r="N17" s="28"/>
      <c r="O17" s="11"/>
      <c r="P17" s="12"/>
      <c r="Q17" s="11"/>
      <c r="R17" s="11"/>
      <c r="S17" s="11"/>
    </row>
    <row r="18" spans="1:19" s="55" customFormat="1" ht="12.75" x14ac:dyDescent="0.2">
      <c r="A18" s="329" t="s">
        <v>174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1"/>
    </row>
    <row r="19" spans="1:19" ht="20.25" customHeight="1" thickBot="1" x14ac:dyDescent="0.3">
      <c r="A19" s="63" t="s">
        <v>138</v>
      </c>
      <c r="B19" s="58"/>
      <c r="C19" s="58"/>
      <c r="D19" s="65"/>
      <c r="E19" s="64"/>
      <c r="F19" s="64"/>
      <c r="G19" s="64"/>
      <c r="H19" s="64"/>
      <c r="I19" s="64"/>
      <c r="J19" s="64"/>
      <c r="K19" s="64"/>
      <c r="L19" s="62">
        <f>SUM(L3:L18)</f>
        <v>18532.8</v>
      </c>
      <c r="M19" s="62">
        <f>SUM(M3:M18)</f>
        <v>734115.20000000007</v>
      </c>
      <c r="N19" s="66"/>
      <c r="O19" s="64"/>
      <c r="P19" s="64"/>
      <c r="Q19" s="64"/>
      <c r="R19" s="64"/>
      <c r="S19" s="64"/>
    </row>
  </sheetData>
  <mergeCells count="1">
    <mergeCell ref="A18:S18"/>
  </mergeCells>
  <pageMargins left="0.25" right="0.25" top="0.75" bottom="0.75" header="0.3" footer="0.3"/>
  <pageSetup orientation="landscape" r:id="rId1"/>
  <headerFooter>
    <oddHeader xml:space="preserve">&amp;CCuster County Highway Employees
2025 &amp;RRevised 
12/30/24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9"/>
  <sheetViews>
    <sheetView tabSelected="1" view="pageLayout" zoomScale="110" zoomScaleNormal="100" zoomScalePageLayoutView="110" workbookViewId="0">
      <selection activeCell="U10" sqref="U10"/>
    </sheetView>
  </sheetViews>
  <sheetFormatPr defaultColWidth="9.140625" defaultRowHeight="15" x14ac:dyDescent="0.25"/>
  <cols>
    <col min="1" max="1" width="20.7109375" customWidth="1"/>
    <col min="2" max="2" width="13.5703125" customWidth="1"/>
    <col min="3" max="3" width="10.42578125" customWidth="1"/>
    <col min="4" max="4" width="10.140625" hidden="1" customWidth="1"/>
    <col min="5" max="5" width="8.42578125" hidden="1" customWidth="1"/>
    <col min="6" max="6" width="7" hidden="1" customWidth="1"/>
    <col min="7" max="7" width="7.7109375" hidden="1" customWidth="1"/>
    <col min="8" max="8" width="7" hidden="1" customWidth="1"/>
    <col min="9" max="9" width="7.5703125" hidden="1" customWidth="1"/>
    <col min="10" max="10" width="7" hidden="1" customWidth="1"/>
    <col min="11" max="11" width="10" hidden="1" customWidth="1"/>
    <col min="12" max="12" width="9.140625" hidden="1" customWidth="1"/>
    <col min="13" max="13" width="10.140625" customWidth="1"/>
    <col min="14" max="14" width="6.140625" customWidth="1"/>
    <col min="15" max="15" width="10.140625" customWidth="1"/>
    <col min="16" max="16" width="6.5703125" customWidth="1"/>
    <col min="17" max="17" width="10.85546875" customWidth="1"/>
    <col min="18" max="18" width="13.140625" bestFit="1" customWidth="1"/>
    <col min="19" max="19" width="11.5703125" customWidth="1"/>
  </cols>
  <sheetData>
    <row r="1" spans="1:20" ht="52.5" customHeight="1" thickBot="1" x14ac:dyDescent="0.3">
      <c r="A1" s="104" t="s">
        <v>56</v>
      </c>
      <c r="B1" s="105" t="s">
        <v>37</v>
      </c>
      <c r="C1" s="105" t="s">
        <v>171</v>
      </c>
      <c r="D1" s="105" t="s">
        <v>44</v>
      </c>
      <c r="E1" s="106" t="s">
        <v>166</v>
      </c>
      <c r="F1" s="105" t="s">
        <v>38</v>
      </c>
      <c r="G1" s="105" t="s">
        <v>39</v>
      </c>
      <c r="H1" s="105" t="s">
        <v>38</v>
      </c>
      <c r="I1" s="105" t="s">
        <v>170</v>
      </c>
      <c r="J1" s="105" t="s">
        <v>38</v>
      </c>
      <c r="K1" s="105" t="s">
        <v>272</v>
      </c>
      <c r="L1" s="105" t="s">
        <v>240</v>
      </c>
      <c r="M1" s="105" t="s">
        <v>273</v>
      </c>
      <c r="N1" s="105" t="s">
        <v>267</v>
      </c>
      <c r="O1" s="262" t="s">
        <v>274</v>
      </c>
      <c r="P1" s="105" t="s">
        <v>131</v>
      </c>
      <c r="Q1" s="105" t="s">
        <v>151</v>
      </c>
      <c r="R1" s="105" t="s">
        <v>268</v>
      </c>
      <c r="S1" s="276" t="s">
        <v>280</v>
      </c>
    </row>
    <row r="2" spans="1:20" x14ac:dyDescent="0.25">
      <c r="A2" s="88" t="s">
        <v>82</v>
      </c>
      <c r="B2" s="89"/>
      <c r="C2" s="89"/>
      <c r="D2" s="89"/>
      <c r="E2" s="90"/>
      <c r="F2" s="89"/>
      <c r="G2" s="89"/>
      <c r="H2" s="89"/>
      <c r="I2" s="89"/>
      <c r="J2" s="89"/>
      <c r="K2" s="89"/>
      <c r="L2" s="89"/>
      <c r="M2" s="326">
        <v>21.71</v>
      </c>
      <c r="N2" s="272"/>
      <c r="O2" s="89"/>
      <c r="P2" s="89"/>
      <c r="Q2" s="89"/>
      <c r="R2" s="89"/>
      <c r="S2" s="264">
        <f>ROUND(M2,2)</f>
        <v>21.71</v>
      </c>
    </row>
    <row r="3" spans="1:20" x14ac:dyDescent="0.25">
      <c r="A3" s="88" t="s">
        <v>229</v>
      </c>
      <c r="B3" s="89" t="s">
        <v>37</v>
      </c>
      <c r="C3" s="89"/>
      <c r="D3" s="89" t="s">
        <v>15</v>
      </c>
      <c r="E3" s="90"/>
      <c r="F3" s="89"/>
      <c r="G3" s="89"/>
      <c r="H3" s="89"/>
      <c r="I3" s="89"/>
      <c r="J3" s="89"/>
      <c r="K3" s="89"/>
      <c r="L3" s="89"/>
      <c r="M3" s="326">
        <v>22.65</v>
      </c>
      <c r="N3" s="272"/>
      <c r="O3" s="89"/>
      <c r="P3" s="89"/>
      <c r="Q3" s="89"/>
      <c r="R3" s="89"/>
      <c r="S3" s="264">
        <f>ROUND(M3,2)</f>
        <v>22.65</v>
      </c>
    </row>
    <row r="4" spans="1:20" x14ac:dyDescent="0.25">
      <c r="A4" s="81" t="s">
        <v>83</v>
      </c>
      <c r="B4" s="82" t="s">
        <v>220</v>
      </c>
      <c r="C4" s="110">
        <v>45061</v>
      </c>
      <c r="D4" s="83"/>
      <c r="E4" s="84">
        <v>24</v>
      </c>
      <c r="F4" s="84">
        <v>1.5</v>
      </c>
      <c r="G4" s="84"/>
      <c r="H4" s="84">
        <v>1.5</v>
      </c>
      <c r="I4" s="84">
        <v>21.08</v>
      </c>
      <c r="J4" s="84">
        <f t="shared" ref="J4:J10" si="0">SUM(I4*5%)</f>
        <v>1.054</v>
      </c>
      <c r="K4" s="84">
        <v>22.65</v>
      </c>
      <c r="L4" s="84"/>
      <c r="M4" s="84">
        <v>22.65</v>
      </c>
      <c r="N4" s="261">
        <v>0.03</v>
      </c>
      <c r="O4" s="256">
        <f>ROUND(SUM(N4*M4)+M4,2)</f>
        <v>23.33</v>
      </c>
      <c r="P4" s="85">
        <v>2080</v>
      </c>
      <c r="Q4" s="84">
        <f>SUM(O4-M4)*P4</f>
        <v>1414.3999999999994</v>
      </c>
      <c r="R4" s="84">
        <f>O4*P4</f>
        <v>48526.399999999994</v>
      </c>
      <c r="S4" s="29"/>
    </row>
    <row r="5" spans="1:20" x14ac:dyDescent="0.25">
      <c r="A5" s="81" t="s">
        <v>83</v>
      </c>
      <c r="B5" s="82" t="s">
        <v>84</v>
      </c>
      <c r="C5" s="110">
        <v>40315</v>
      </c>
      <c r="D5" s="83" t="s">
        <v>87</v>
      </c>
      <c r="E5" s="84">
        <v>20.149999999999999</v>
      </c>
      <c r="F5" s="84">
        <v>1.5</v>
      </c>
      <c r="G5" s="84">
        <f t="shared" ref="G5:G8" si="1">E5+F5</f>
        <v>21.65</v>
      </c>
      <c r="H5" s="84">
        <v>1.5</v>
      </c>
      <c r="I5" s="84">
        <f t="shared" ref="I5:I10" si="2">SUM(G5+H5)</f>
        <v>23.15</v>
      </c>
      <c r="J5" s="84">
        <f t="shared" si="0"/>
        <v>1.1575</v>
      </c>
      <c r="K5" s="84">
        <f t="shared" ref="K5:K10" si="3">ROUND(SUM(I5+J5),2)</f>
        <v>24.31</v>
      </c>
      <c r="L5" s="84"/>
      <c r="M5" s="84">
        <v>24.31</v>
      </c>
      <c r="N5" s="261">
        <v>0.03</v>
      </c>
      <c r="O5" s="256">
        <f>ROUND(SUM(N5*M5)+M5,2)</f>
        <v>25.04</v>
      </c>
      <c r="P5" s="85">
        <v>2080</v>
      </c>
      <c r="Q5" s="84">
        <f t="shared" ref="Q5:Q10" si="4">SUM(O5-M5)*P5</f>
        <v>1518.400000000001</v>
      </c>
      <c r="R5" s="84">
        <f>O5*P5</f>
        <v>52083.199999999997</v>
      </c>
      <c r="S5" s="28"/>
    </row>
    <row r="6" spans="1:20" x14ac:dyDescent="0.25">
      <c r="A6" s="81" t="s">
        <v>83</v>
      </c>
      <c r="B6" s="82" t="s">
        <v>85</v>
      </c>
      <c r="C6" s="110">
        <v>43903</v>
      </c>
      <c r="D6" s="83" t="s">
        <v>28</v>
      </c>
      <c r="E6" s="84">
        <v>18.989999999999998</v>
      </c>
      <c r="F6" s="84">
        <v>1.5</v>
      </c>
      <c r="G6" s="84">
        <f t="shared" si="1"/>
        <v>20.49</v>
      </c>
      <c r="H6" s="84">
        <v>1.5</v>
      </c>
      <c r="I6" s="84">
        <f t="shared" si="2"/>
        <v>21.99</v>
      </c>
      <c r="J6" s="84">
        <f t="shared" si="0"/>
        <v>1.0994999999999999</v>
      </c>
      <c r="K6" s="84">
        <f t="shared" si="3"/>
        <v>23.09</v>
      </c>
      <c r="L6" s="84"/>
      <c r="M6" s="84">
        <v>23.09</v>
      </c>
      <c r="N6" s="261">
        <v>0.03</v>
      </c>
      <c r="O6" s="256">
        <f t="shared" ref="O6:O7" si="5">ROUND(SUM(N6*M6)+M6,2)</f>
        <v>23.78</v>
      </c>
      <c r="P6" s="85">
        <v>2080</v>
      </c>
      <c r="Q6" s="84">
        <f t="shared" si="4"/>
        <v>1435.2000000000025</v>
      </c>
      <c r="R6" s="84">
        <f t="shared" ref="R6:R10" si="6">O6*P6</f>
        <v>49462.400000000001</v>
      </c>
      <c r="S6" s="28"/>
    </row>
    <row r="7" spans="1:20" x14ac:dyDescent="0.25">
      <c r="A7" s="111" t="s">
        <v>83</v>
      </c>
      <c r="B7" s="91" t="s">
        <v>173</v>
      </c>
      <c r="C7" s="110">
        <v>44598</v>
      </c>
      <c r="D7" s="83" t="s">
        <v>203</v>
      </c>
      <c r="E7" s="86">
        <v>18.989999999999998</v>
      </c>
      <c r="F7" s="86">
        <v>1.5</v>
      </c>
      <c r="G7" s="86">
        <f t="shared" si="1"/>
        <v>20.49</v>
      </c>
      <c r="H7" s="86">
        <v>1.5</v>
      </c>
      <c r="I7" s="84">
        <f t="shared" si="2"/>
        <v>21.99</v>
      </c>
      <c r="J7" s="84">
        <f t="shared" si="0"/>
        <v>1.0994999999999999</v>
      </c>
      <c r="K7" s="84">
        <f t="shared" si="3"/>
        <v>23.09</v>
      </c>
      <c r="L7" s="84"/>
      <c r="M7" s="84">
        <v>23.09</v>
      </c>
      <c r="N7" s="261">
        <v>0.03</v>
      </c>
      <c r="O7" s="256">
        <f t="shared" si="5"/>
        <v>23.78</v>
      </c>
      <c r="P7" s="87">
        <v>2080</v>
      </c>
      <c r="Q7" s="84">
        <f t="shared" si="4"/>
        <v>1435.2000000000025</v>
      </c>
      <c r="R7" s="84">
        <f t="shared" si="6"/>
        <v>49462.400000000001</v>
      </c>
      <c r="S7" s="28"/>
    </row>
    <row r="8" spans="1:20" x14ac:dyDescent="0.25">
      <c r="A8" s="81" t="s">
        <v>83</v>
      </c>
      <c r="B8" s="91" t="s">
        <v>86</v>
      </c>
      <c r="C8" s="110">
        <v>44186</v>
      </c>
      <c r="D8" s="83" t="s">
        <v>27</v>
      </c>
      <c r="E8" s="86">
        <v>18.989999999999998</v>
      </c>
      <c r="F8" s="84">
        <v>1.5</v>
      </c>
      <c r="G8" s="84">
        <f t="shared" si="1"/>
        <v>20.49</v>
      </c>
      <c r="H8" s="84">
        <v>1.5</v>
      </c>
      <c r="I8" s="84">
        <f t="shared" si="2"/>
        <v>21.99</v>
      </c>
      <c r="J8" s="84">
        <f t="shared" si="0"/>
        <v>1.0994999999999999</v>
      </c>
      <c r="K8" s="84">
        <f t="shared" si="3"/>
        <v>23.09</v>
      </c>
      <c r="L8" s="84"/>
      <c r="M8" s="84">
        <v>23.09</v>
      </c>
      <c r="N8" s="261">
        <v>0.03</v>
      </c>
      <c r="O8" s="256">
        <f>ROUND(SUM(N8*M8)+M8,2)</f>
        <v>23.78</v>
      </c>
      <c r="P8" s="85">
        <v>2080</v>
      </c>
      <c r="Q8" s="84">
        <f>SUM(O8-M8)*P8</f>
        <v>1435.2000000000025</v>
      </c>
      <c r="R8" s="84">
        <f>O8*P8</f>
        <v>49462.400000000001</v>
      </c>
      <c r="S8" s="28"/>
    </row>
    <row r="9" spans="1:20" x14ac:dyDescent="0.25">
      <c r="A9" s="81" t="s">
        <v>83</v>
      </c>
      <c r="B9" s="82" t="s">
        <v>159</v>
      </c>
      <c r="C9" s="110">
        <v>44507</v>
      </c>
      <c r="D9" s="83" t="s">
        <v>160</v>
      </c>
      <c r="E9" s="84">
        <v>18.079999999999998</v>
      </c>
      <c r="F9" s="86">
        <v>1.5</v>
      </c>
      <c r="G9" s="86">
        <v>20.49</v>
      </c>
      <c r="H9" s="86">
        <v>1.5</v>
      </c>
      <c r="I9" s="84">
        <f t="shared" si="2"/>
        <v>21.99</v>
      </c>
      <c r="J9" s="84">
        <f t="shared" si="0"/>
        <v>1.0994999999999999</v>
      </c>
      <c r="K9" s="84">
        <f t="shared" si="3"/>
        <v>23.09</v>
      </c>
      <c r="L9" s="84"/>
      <c r="M9" s="84">
        <v>23.09</v>
      </c>
      <c r="N9" s="261">
        <v>0.03</v>
      </c>
      <c r="O9" s="256">
        <f>ROUND(SUM(N9*M9)+M9,2)</f>
        <v>23.78</v>
      </c>
      <c r="P9" s="87">
        <v>2080</v>
      </c>
      <c r="Q9" s="84">
        <f t="shared" si="4"/>
        <v>1435.2000000000025</v>
      </c>
      <c r="R9" s="84">
        <f t="shared" si="6"/>
        <v>49462.400000000001</v>
      </c>
      <c r="S9" s="28"/>
    </row>
    <row r="10" spans="1:20" x14ac:dyDescent="0.25">
      <c r="A10" s="81" t="s">
        <v>83</v>
      </c>
      <c r="B10" s="82" t="s">
        <v>172</v>
      </c>
      <c r="C10" s="110">
        <v>43598</v>
      </c>
      <c r="D10" s="83"/>
      <c r="E10" s="86">
        <v>18.989999999999998</v>
      </c>
      <c r="F10" s="84">
        <v>1.5</v>
      </c>
      <c r="G10" s="84">
        <f t="shared" ref="G10" si="7">E10+F10</f>
        <v>20.49</v>
      </c>
      <c r="H10" s="84">
        <v>1.5</v>
      </c>
      <c r="I10" s="84">
        <f t="shared" si="2"/>
        <v>21.99</v>
      </c>
      <c r="J10" s="84">
        <f t="shared" si="0"/>
        <v>1.0994999999999999</v>
      </c>
      <c r="K10" s="84">
        <f t="shared" si="3"/>
        <v>23.09</v>
      </c>
      <c r="L10" s="84"/>
      <c r="M10" s="84">
        <v>23.09</v>
      </c>
      <c r="N10" s="261">
        <v>0.03</v>
      </c>
      <c r="O10" s="256">
        <f>ROUND(SUM(N10*M10)+M10,2)</f>
        <v>23.78</v>
      </c>
      <c r="P10" s="85">
        <v>2080</v>
      </c>
      <c r="Q10" s="84">
        <f t="shared" si="4"/>
        <v>1435.2000000000025</v>
      </c>
      <c r="R10" s="84">
        <f t="shared" si="6"/>
        <v>49462.400000000001</v>
      </c>
      <c r="S10" s="28"/>
    </row>
    <row r="11" spans="1:20" x14ac:dyDescent="0.25">
      <c r="A11" s="81" t="s">
        <v>156</v>
      </c>
      <c r="B11" s="82"/>
      <c r="C11" s="82"/>
      <c r="D11" s="83"/>
      <c r="E11" s="84"/>
      <c r="F11" s="84">
        <v>1</v>
      </c>
      <c r="G11" s="84"/>
      <c r="H11" s="84">
        <v>1</v>
      </c>
      <c r="I11" s="84"/>
      <c r="J11" s="84">
        <v>1</v>
      </c>
      <c r="K11" s="84"/>
      <c r="L11" s="84"/>
      <c r="M11" s="84">
        <v>1</v>
      </c>
      <c r="N11" s="84"/>
      <c r="O11" s="84"/>
      <c r="P11" s="85">
        <v>7000</v>
      </c>
      <c r="Q11" s="84">
        <f>F11*P11</f>
        <v>7000</v>
      </c>
      <c r="R11" s="84">
        <v>7000</v>
      </c>
      <c r="S11" s="30"/>
    </row>
    <row r="12" spans="1:20" x14ac:dyDescent="0.25">
      <c r="A12" s="88"/>
      <c r="B12" s="89" t="s">
        <v>37</v>
      </c>
      <c r="C12" s="89"/>
      <c r="D12" s="89" t="s">
        <v>15</v>
      </c>
      <c r="E12" s="90"/>
      <c r="F12" s="89"/>
      <c r="G12" s="89"/>
      <c r="H12" s="89"/>
      <c r="I12" s="89"/>
      <c r="J12" s="89"/>
      <c r="K12" s="89"/>
      <c r="L12" s="239">
        <v>0.05</v>
      </c>
      <c r="M12" s="241" t="s">
        <v>211</v>
      </c>
      <c r="N12" s="263"/>
      <c r="O12" s="241"/>
      <c r="P12" s="89"/>
      <c r="Q12" s="89"/>
      <c r="R12" s="89"/>
      <c r="S12" s="27"/>
      <c r="T12" s="208"/>
    </row>
    <row r="13" spans="1:20" x14ac:dyDescent="0.25">
      <c r="A13" s="265"/>
      <c r="B13" s="266"/>
      <c r="C13" s="266"/>
      <c r="D13" s="266"/>
      <c r="E13" s="267"/>
      <c r="F13" s="266"/>
      <c r="G13" s="266"/>
      <c r="H13" s="266"/>
      <c r="I13" s="266"/>
      <c r="J13" s="266"/>
      <c r="K13" s="266"/>
      <c r="L13" s="268"/>
      <c r="M13" s="274">
        <v>27.25</v>
      </c>
      <c r="N13" s="273"/>
      <c r="O13" s="269"/>
      <c r="P13" s="266"/>
      <c r="Q13" s="266"/>
      <c r="R13" s="266"/>
      <c r="S13" s="264">
        <f>ROUND(M13,2)</f>
        <v>27.25</v>
      </c>
      <c r="T13" s="208"/>
    </row>
    <row r="14" spans="1:20" x14ac:dyDescent="0.25">
      <c r="A14" s="82" t="s">
        <v>88</v>
      </c>
      <c r="B14" s="82" t="s">
        <v>99</v>
      </c>
      <c r="C14" s="112">
        <v>39195</v>
      </c>
      <c r="D14" s="107" t="s">
        <v>93</v>
      </c>
      <c r="E14" s="84">
        <v>27.53</v>
      </c>
      <c r="F14" s="84">
        <v>1.5</v>
      </c>
      <c r="G14" s="84">
        <f>E14+F14</f>
        <v>29.03</v>
      </c>
      <c r="H14" s="84">
        <v>2</v>
      </c>
      <c r="I14" s="84">
        <f t="shared" ref="I14:I25" si="8">SUM(G14+H14)</f>
        <v>31.03</v>
      </c>
      <c r="J14" s="84">
        <f>SUM(I14*5%)</f>
        <v>1.5515000000000001</v>
      </c>
      <c r="K14" s="84">
        <f>ROUND(SUM(I14+J14),2)</f>
        <v>32.58</v>
      </c>
      <c r="L14" s="84">
        <f>SUM(K14*5%)</f>
        <v>1.629</v>
      </c>
      <c r="M14" s="84">
        <f>ROUND(SUM(K14+L14),2)</f>
        <v>34.21</v>
      </c>
      <c r="N14" s="261">
        <v>0.03</v>
      </c>
      <c r="O14" s="256">
        <f t="shared" ref="O14:O17" si="9">ROUND(SUM(N14*M14)+M14,2)</f>
        <v>35.24</v>
      </c>
      <c r="P14" s="83">
        <v>2080</v>
      </c>
      <c r="Q14" s="84">
        <f t="shared" ref="Q14:Q17" si="10">SUM(O14-M14)*P14</f>
        <v>2142.4000000000024</v>
      </c>
      <c r="R14" s="86">
        <f>O14*P14</f>
        <v>73299.199999999997</v>
      </c>
      <c r="S14" s="116"/>
    </row>
    <row r="15" spans="1:20" x14ac:dyDescent="0.25">
      <c r="A15" s="82" t="s">
        <v>88</v>
      </c>
      <c r="B15" s="94" t="s">
        <v>100</v>
      </c>
      <c r="C15" s="112">
        <v>40911</v>
      </c>
      <c r="D15" s="107" t="s">
        <v>94</v>
      </c>
      <c r="E15" s="95">
        <v>26.93</v>
      </c>
      <c r="F15" s="86">
        <v>1.5</v>
      </c>
      <c r="G15" s="86">
        <f t="shared" ref="G15:G25" si="11">E15+F15</f>
        <v>28.43</v>
      </c>
      <c r="H15" s="84">
        <v>2</v>
      </c>
      <c r="I15" s="84">
        <f t="shared" si="8"/>
        <v>30.43</v>
      </c>
      <c r="J15" s="84">
        <f>SUM(I15*5%)</f>
        <v>1.5215000000000001</v>
      </c>
      <c r="K15" s="84">
        <f>ROUND(SUM(I15+J15),2)</f>
        <v>31.95</v>
      </c>
      <c r="L15" s="84">
        <f t="shared" ref="L15:L17" si="12">SUM(K15*5%)</f>
        <v>1.5975000000000001</v>
      </c>
      <c r="M15" s="84">
        <f>ROUND(SUM(K15+L15),2)</f>
        <v>33.549999999999997</v>
      </c>
      <c r="N15" s="261">
        <v>0.03</v>
      </c>
      <c r="O15" s="256">
        <f t="shared" si="9"/>
        <v>34.56</v>
      </c>
      <c r="P15" s="83">
        <v>2080</v>
      </c>
      <c r="Q15" s="84">
        <f t="shared" si="10"/>
        <v>2100.8000000000106</v>
      </c>
      <c r="R15" s="86">
        <f t="shared" ref="R15:R17" si="13">O15*P15</f>
        <v>71884.800000000003</v>
      </c>
      <c r="S15" s="28"/>
    </row>
    <row r="16" spans="1:20" x14ac:dyDescent="0.25">
      <c r="A16" s="82" t="s">
        <v>89</v>
      </c>
      <c r="B16" s="94" t="s">
        <v>101</v>
      </c>
      <c r="C16" s="112">
        <v>41437</v>
      </c>
      <c r="D16" s="107" t="s">
        <v>95</v>
      </c>
      <c r="E16" s="95">
        <v>25.7</v>
      </c>
      <c r="F16" s="84">
        <v>1.5</v>
      </c>
      <c r="G16" s="84">
        <f t="shared" si="11"/>
        <v>27.2</v>
      </c>
      <c r="H16" s="84">
        <v>2</v>
      </c>
      <c r="I16" s="84">
        <f t="shared" si="8"/>
        <v>29.2</v>
      </c>
      <c r="J16" s="84">
        <f>SUM(I16*5%)</f>
        <v>1.46</v>
      </c>
      <c r="K16" s="84">
        <f>ROUND(SUM(I16+J16),2)</f>
        <v>30.66</v>
      </c>
      <c r="L16" s="84">
        <f t="shared" si="12"/>
        <v>1.5330000000000001</v>
      </c>
      <c r="M16" s="84">
        <f>ROUND(SUM(K16+L16),2)</f>
        <v>32.19</v>
      </c>
      <c r="N16" s="261">
        <v>0.03</v>
      </c>
      <c r="O16" s="256">
        <f t="shared" si="9"/>
        <v>33.159999999999997</v>
      </c>
      <c r="P16" s="83">
        <v>2080</v>
      </c>
      <c r="Q16" s="84">
        <f t="shared" si="10"/>
        <v>2017.5999999999976</v>
      </c>
      <c r="R16" s="86">
        <f t="shared" si="13"/>
        <v>68972.799999999988</v>
      </c>
      <c r="S16" s="28"/>
    </row>
    <row r="17" spans="1:19" x14ac:dyDescent="0.25">
      <c r="A17" s="82" t="s">
        <v>89</v>
      </c>
      <c r="B17" s="82" t="s">
        <v>103</v>
      </c>
      <c r="C17" s="112">
        <v>43155</v>
      </c>
      <c r="D17" s="107" t="s">
        <v>97</v>
      </c>
      <c r="E17" s="84">
        <v>23.77</v>
      </c>
      <c r="F17" s="84">
        <v>1.5</v>
      </c>
      <c r="G17" s="84">
        <f>E17+F17</f>
        <v>25.27</v>
      </c>
      <c r="H17" s="84">
        <v>2</v>
      </c>
      <c r="I17" s="84">
        <f t="shared" si="8"/>
        <v>27.27</v>
      </c>
      <c r="J17" s="84">
        <f>SUM(I17*5%)</f>
        <v>1.3635000000000002</v>
      </c>
      <c r="K17" s="84">
        <f>ROUND(SUM(I17+J17),2)</f>
        <v>28.63</v>
      </c>
      <c r="L17" s="84">
        <f t="shared" si="12"/>
        <v>1.4315</v>
      </c>
      <c r="M17" s="84">
        <f>ROUND(SUM(K17+L17),2)</f>
        <v>30.06</v>
      </c>
      <c r="N17" s="261">
        <v>0.03</v>
      </c>
      <c r="O17" s="256">
        <f t="shared" si="9"/>
        <v>30.96</v>
      </c>
      <c r="P17" s="83">
        <v>2080</v>
      </c>
      <c r="Q17" s="84">
        <f t="shared" si="10"/>
        <v>1872.0000000000045</v>
      </c>
      <c r="R17" s="86">
        <f t="shared" si="13"/>
        <v>64396.800000000003</v>
      </c>
      <c r="S17" s="28"/>
    </row>
    <row r="18" spans="1:19" x14ac:dyDescent="0.25">
      <c r="A18" s="215" t="s">
        <v>229</v>
      </c>
      <c r="B18" s="214" t="s">
        <v>37</v>
      </c>
      <c r="C18" s="210"/>
      <c r="D18" s="211"/>
      <c r="E18" s="212"/>
      <c r="F18" s="212"/>
      <c r="G18" s="212"/>
      <c r="H18" s="212"/>
      <c r="I18" s="212"/>
      <c r="J18" s="212"/>
      <c r="K18" s="212"/>
      <c r="L18" s="240">
        <v>0.02</v>
      </c>
      <c r="M18" s="241" t="s">
        <v>211</v>
      </c>
      <c r="N18" s="241"/>
      <c r="O18" s="241"/>
      <c r="P18" s="213"/>
      <c r="Q18" s="212"/>
      <c r="R18" s="89"/>
      <c r="S18" s="27"/>
    </row>
    <row r="19" spans="1:19" x14ac:dyDescent="0.25">
      <c r="A19" s="266"/>
      <c r="B19" s="270"/>
      <c r="C19" s="112"/>
      <c r="D19" s="107"/>
      <c r="E19" s="86"/>
      <c r="F19" s="86"/>
      <c r="G19" s="86"/>
      <c r="H19" s="86"/>
      <c r="I19" s="86"/>
      <c r="J19" s="86"/>
      <c r="K19" s="86"/>
      <c r="L19" s="271"/>
      <c r="M19" s="325">
        <v>26.45</v>
      </c>
      <c r="N19" s="273"/>
      <c r="O19" s="269"/>
      <c r="P19" s="83"/>
      <c r="Q19" s="86"/>
      <c r="R19" s="266"/>
      <c r="S19" s="264">
        <f>ROUND(M19,2)</f>
        <v>26.45</v>
      </c>
    </row>
    <row r="20" spans="1:19" x14ac:dyDescent="0.25">
      <c r="A20" s="82" t="s">
        <v>90</v>
      </c>
      <c r="B20" s="82" t="s">
        <v>250</v>
      </c>
      <c r="C20" s="112">
        <v>42815</v>
      </c>
      <c r="D20" s="107" t="s">
        <v>67</v>
      </c>
      <c r="E20" s="84">
        <v>23.63</v>
      </c>
      <c r="F20" s="84">
        <v>1.5</v>
      </c>
      <c r="G20" s="84">
        <f t="shared" si="11"/>
        <v>25.13</v>
      </c>
      <c r="H20" s="84">
        <v>2</v>
      </c>
      <c r="I20" s="84">
        <f t="shared" si="8"/>
        <v>27.13</v>
      </c>
      <c r="J20" s="84">
        <f t="shared" ref="J20:J26" si="14">SUM(I20*5%)</f>
        <v>1.3565</v>
      </c>
      <c r="K20" s="84">
        <f t="shared" ref="K20:K26" si="15">ROUND(SUM(I20+J20),2)</f>
        <v>28.49</v>
      </c>
      <c r="L20" s="84">
        <f>SUM(K20*2%)</f>
        <v>0.56979999999999997</v>
      </c>
      <c r="M20" s="84">
        <f>ROUND(SUM(K20+L20),2)</f>
        <v>29.06</v>
      </c>
      <c r="N20" s="261">
        <v>0.03</v>
      </c>
      <c r="O20" s="256">
        <f>ROUND(SUM(N20*M20)+M20,2)</f>
        <v>29.93</v>
      </c>
      <c r="P20" s="83" t="s">
        <v>260</v>
      </c>
      <c r="Q20" s="84"/>
      <c r="R20" s="86"/>
      <c r="S20" s="28"/>
    </row>
    <row r="21" spans="1:19" x14ac:dyDescent="0.25">
      <c r="A21" s="82" t="s">
        <v>91</v>
      </c>
      <c r="B21" s="82" t="s">
        <v>251</v>
      </c>
      <c r="C21" s="112">
        <v>45022</v>
      </c>
      <c r="D21" s="107" t="s">
        <v>96</v>
      </c>
      <c r="E21" s="84">
        <v>22.77</v>
      </c>
      <c r="F21" s="84">
        <v>1.5</v>
      </c>
      <c r="G21" s="84">
        <f t="shared" si="11"/>
        <v>24.27</v>
      </c>
      <c r="H21" s="84">
        <v>2</v>
      </c>
      <c r="I21" s="84">
        <f t="shared" si="8"/>
        <v>26.27</v>
      </c>
      <c r="J21" s="84">
        <f t="shared" si="14"/>
        <v>1.3135000000000001</v>
      </c>
      <c r="K21" s="84">
        <f t="shared" si="15"/>
        <v>27.58</v>
      </c>
      <c r="L21" s="84">
        <f t="shared" ref="L21:L25" si="16">SUM(K21*2%)</f>
        <v>0.55159999999999998</v>
      </c>
      <c r="M21" s="84">
        <f>ROUND(SUM(K21+L21),2)</f>
        <v>28.13</v>
      </c>
      <c r="N21" s="261">
        <v>0.03</v>
      </c>
      <c r="O21" s="256">
        <f t="shared" ref="O21:O29" si="17">ROUND(SUM(N21*M21)+M21,2)</f>
        <v>28.97</v>
      </c>
      <c r="P21" s="83">
        <v>2080</v>
      </c>
      <c r="Q21" s="84">
        <f t="shared" ref="Q21:Q29" si="18">SUM(O21-M21)*P21</f>
        <v>1747.1999999999998</v>
      </c>
      <c r="R21" s="86">
        <f t="shared" ref="R21:R27" si="19">O21*P21</f>
        <v>60257.599999999999</v>
      </c>
      <c r="S21" s="32"/>
    </row>
    <row r="22" spans="1:19" x14ac:dyDescent="0.25">
      <c r="A22" s="82" t="s">
        <v>92</v>
      </c>
      <c r="B22" s="82" t="s">
        <v>254</v>
      </c>
      <c r="C22" s="112">
        <v>44672</v>
      </c>
      <c r="D22" s="107" t="s">
        <v>19</v>
      </c>
      <c r="E22" s="84">
        <v>22.77</v>
      </c>
      <c r="F22" s="84">
        <v>1.5</v>
      </c>
      <c r="G22" s="84">
        <f t="shared" si="11"/>
        <v>24.27</v>
      </c>
      <c r="H22" s="84">
        <v>2</v>
      </c>
      <c r="I22" s="84">
        <f t="shared" si="8"/>
        <v>26.27</v>
      </c>
      <c r="J22" s="84">
        <f t="shared" si="14"/>
        <v>1.3135000000000001</v>
      </c>
      <c r="K22" s="84">
        <f t="shared" si="15"/>
        <v>27.58</v>
      </c>
      <c r="L22" s="84">
        <f t="shared" si="16"/>
        <v>0.55159999999999998</v>
      </c>
      <c r="M22" s="84">
        <f>ROUND(SUM(K22+L22),2)</f>
        <v>28.13</v>
      </c>
      <c r="N22" s="261">
        <v>0.03</v>
      </c>
      <c r="O22" s="256">
        <f t="shared" si="17"/>
        <v>28.97</v>
      </c>
      <c r="P22" s="83">
        <v>2080</v>
      </c>
      <c r="Q22" s="84">
        <f t="shared" si="18"/>
        <v>1747.1999999999998</v>
      </c>
      <c r="R22" s="86">
        <f t="shared" si="19"/>
        <v>60257.599999999999</v>
      </c>
      <c r="S22" s="32"/>
    </row>
    <row r="23" spans="1:19" x14ac:dyDescent="0.25">
      <c r="A23" s="82" t="s">
        <v>91</v>
      </c>
      <c r="B23" s="82" t="s">
        <v>102</v>
      </c>
      <c r="C23" s="112">
        <v>43395</v>
      </c>
      <c r="D23" s="107" t="s">
        <v>23</v>
      </c>
      <c r="E23" s="84">
        <v>22.77</v>
      </c>
      <c r="F23" s="84">
        <v>1.5</v>
      </c>
      <c r="G23" s="84">
        <f t="shared" si="11"/>
        <v>24.27</v>
      </c>
      <c r="H23" s="84">
        <v>2</v>
      </c>
      <c r="I23" s="84">
        <f t="shared" si="8"/>
        <v>26.27</v>
      </c>
      <c r="J23" s="84">
        <f t="shared" si="14"/>
        <v>1.3135000000000001</v>
      </c>
      <c r="K23" s="84">
        <f t="shared" si="15"/>
        <v>27.58</v>
      </c>
      <c r="L23" s="84">
        <f t="shared" si="16"/>
        <v>0.55159999999999998</v>
      </c>
      <c r="M23" s="84">
        <f>ROUND(SUM(K23+L23),2)</f>
        <v>28.13</v>
      </c>
      <c r="N23" s="261">
        <v>0.03</v>
      </c>
      <c r="O23" s="256">
        <f t="shared" si="17"/>
        <v>28.97</v>
      </c>
      <c r="P23" s="83">
        <v>2080</v>
      </c>
      <c r="Q23" s="84">
        <f t="shared" si="18"/>
        <v>1747.1999999999998</v>
      </c>
      <c r="R23" s="86">
        <f t="shared" si="19"/>
        <v>60257.599999999999</v>
      </c>
      <c r="S23" s="32"/>
    </row>
    <row r="24" spans="1:19" x14ac:dyDescent="0.25">
      <c r="A24" s="82" t="s">
        <v>91</v>
      </c>
      <c r="B24" s="82" t="s">
        <v>201</v>
      </c>
      <c r="C24" s="112">
        <v>44840</v>
      </c>
      <c r="D24" s="107"/>
      <c r="E24" s="86"/>
      <c r="F24" s="86"/>
      <c r="G24" s="86">
        <v>24.27</v>
      </c>
      <c r="H24" s="84">
        <v>2</v>
      </c>
      <c r="I24" s="84">
        <f t="shared" si="8"/>
        <v>26.27</v>
      </c>
      <c r="J24" s="84">
        <f t="shared" si="14"/>
        <v>1.3135000000000001</v>
      </c>
      <c r="K24" s="84">
        <f t="shared" si="15"/>
        <v>27.58</v>
      </c>
      <c r="L24" s="84">
        <f t="shared" si="16"/>
        <v>0.55159999999999998</v>
      </c>
      <c r="M24" s="84">
        <f>ROUND(SUM(K24+L24),2)</f>
        <v>28.13</v>
      </c>
      <c r="N24" s="261">
        <v>0.03</v>
      </c>
      <c r="O24" s="256">
        <f t="shared" si="17"/>
        <v>28.97</v>
      </c>
      <c r="P24" s="83">
        <v>2080</v>
      </c>
      <c r="Q24" s="84">
        <f t="shared" si="18"/>
        <v>1747.1999999999998</v>
      </c>
      <c r="R24" s="86">
        <f t="shared" si="19"/>
        <v>60257.599999999999</v>
      </c>
      <c r="S24" s="30"/>
    </row>
    <row r="25" spans="1:19" x14ac:dyDescent="0.25">
      <c r="A25" s="82" t="s">
        <v>91</v>
      </c>
      <c r="B25" s="82" t="s">
        <v>202</v>
      </c>
      <c r="C25" s="112">
        <v>44840</v>
      </c>
      <c r="D25" s="107" t="s">
        <v>98</v>
      </c>
      <c r="E25" s="84">
        <v>21.69</v>
      </c>
      <c r="F25" s="84">
        <v>1.5</v>
      </c>
      <c r="G25" s="84">
        <f t="shared" si="11"/>
        <v>23.19</v>
      </c>
      <c r="H25" s="84">
        <v>2</v>
      </c>
      <c r="I25" s="84">
        <f t="shared" si="8"/>
        <v>25.19</v>
      </c>
      <c r="J25" s="84">
        <f t="shared" si="14"/>
        <v>1.2595000000000001</v>
      </c>
      <c r="K25" s="84">
        <f t="shared" si="15"/>
        <v>26.45</v>
      </c>
      <c r="L25" s="84">
        <f t="shared" si="16"/>
        <v>0.52900000000000003</v>
      </c>
      <c r="M25" s="84">
        <f>ROUND(SUM(K25+L25),2)+1.15</f>
        <v>28.13</v>
      </c>
      <c r="N25" s="261">
        <v>0.03</v>
      </c>
      <c r="O25" s="256">
        <f t="shared" si="17"/>
        <v>28.97</v>
      </c>
      <c r="P25" s="83">
        <v>2080</v>
      </c>
      <c r="Q25" s="84">
        <f t="shared" si="18"/>
        <v>1747.1999999999998</v>
      </c>
      <c r="R25" s="86">
        <f t="shared" si="19"/>
        <v>60257.599999999999</v>
      </c>
      <c r="S25" s="33"/>
    </row>
    <row r="26" spans="1:19" x14ac:dyDescent="0.25">
      <c r="A26" s="82" t="s">
        <v>91</v>
      </c>
      <c r="B26" s="82" t="s">
        <v>249</v>
      </c>
      <c r="C26" s="112">
        <v>45159</v>
      </c>
      <c r="D26" s="107"/>
      <c r="E26" s="84"/>
      <c r="F26" s="84"/>
      <c r="G26" s="84"/>
      <c r="H26" s="84"/>
      <c r="I26" s="84">
        <v>25.19</v>
      </c>
      <c r="J26" s="84">
        <f t="shared" si="14"/>
        <v>1.2595000000000001</v>
      </c>
      <c r="K26" s="84">
        <f t="shared" si="15"/>
        <v>26.45</v>
      </c>
      <c r="L26" s="84"/>
      <c r="M26" s="84">
        <f>ROUND(SUM(K26+L26),2)</f>
        <v>26.45</v>
      </c>
      <c r="N26" s="261">
        <v>0.03</v>
      </c>
      <c r="O26" s="256">
        <f t="shared" si="17"/>
        <v>27.24</v>
      </c>
      <c r="P26" s="83">
        <v>2080</v>
      </c>
      <c r="Q26" s="84">
        <f t="shared" si="18"/>
        <v>1643.1999999999982</v>
      </c>
      <c r="R26" s="86">
        <f t="shared" si="19"/>
        <v>56659.199999999997</v>
      </c>
      <c r="S26" s="33"/>
    </row>
    <row r="27" spans="1:19" x14ac:dyDescent="0.25">
      <c r="A27" s="82" t="s">
        <v>91</v>
      </c>
      <c r="B27" s="82" t="s">
        <v>244</v>
      </c>
      <c r="C27" s="112">
        <v>45299</v>
      </c>
      <c r="D27" s="107"/>
      <c r="E27" s="84"/>
      <c r="F27" s="84"/>
      <c r="G27" s="84"/>
      <c r="H27" s="84"/>
      <c r="I27" s="84"/>
      <c r="J27" s="84"/>
      <c r="K27" s="84"/>
      <c r="L27" s="84"/>
      <c r="M27" s="84">
        <v>26.45</v>
      </c>
      <c r="N27" s="261">
        <v>0.03</v>
      </c>
      <c r="O27" s="256">
        <f t="shared" si="17"/>
        <v>27.24</v>
      </c>
      <c r="P27" s="83">
        <v>2080</v>
      </c>
      <c r="Q27" s="84">
        <f t="shared" si="18"/>
        <v>1643.1999999999982</v>
      </c>
      <c r="R27" s="86">
        <f t="shared" si="19"/>
        <v>56659.199999999997</v>
      </c>
      <c r="S27" s="33"/>
    </row>
    <row r="28" spans="1:19" x14ac:dyDescent="0.25">
      <c r="A28" s="82" t="s">
        <v>91</v>
      </c>
      <c r="B28" s="82" t="s">
        <v>286</v>
      </c>
      <c r="C28" s="112">
        <v>45691</v>
      </c>
      <c r="D28" s="107"/>
      <c r="E28" s="84"/>
      <c r="F28" s="84"/>
      <c r="G28" s="84"/>
      <c r="H28" s="84"/>
      <c r="I28" s="84"/>
      <c r="J28" s="84"/>
      <c r="K28" s="84"/>
      <c r="L28" s="84"/>
      <c r="M28" s="84"/>
      <c r="N28" s="261"/>
      <c r="O28" s="256">
        <v>26.45</v>
      </c>
      <c r="P28" s="83">
        <v>2080</v>
      </c>
      <c r="Q28" s="84"/>
      <c r="R28" s="86">
        <f>O28*P28</f>
        <v>55016</v>
      </c>
      <c r="S28" s="33"/>
    </row>
    <row r="29" spans="1:19" x14ac:dyDescent="0.25">
      <c r="A29" s="82" t="s">
        <v>91</v>
      </c>
      <c r="B29" s="82" t="s">
        <v>239</v>
      </c>
      <c r="C29" s="112">
        <v>45299</v>
      </c>
      <c r="D29" s="107"/>
      <c r="E29" s="84"/>
      <c r="F29" s="84"/>
      <c r="G29" s="84"/>
      <c r="H29" s="84"/>
      <c r="I29" s="84"/>
      <c r="J29" s="84"/>
      <c r="K29" s="84"/>
      <c r="L29" s="84"/>
      <c r="M29" s="84">
        <v>26.45</v>
      </c>
      <c r="N29" s="261">
        <v>0.03</v>
      </c>
      <c r="O29" s="256">
        <f t="shared" si="17"/>
        <v>27.24</v>
      </c>
      <c r="P29" s="83">
        <v>2080</v>
      </c>
      <c r="Q29" s="84">
        <f t="shared" si="18"/>
        <v>1643.1999999999982</v>
      </c>
      <c r="R29" s="86">
        <f>O29*P29</f>
        <v>56659.199999999997</v>
      </c>
      <c r="S29" s="33"/>
    </row>
    <row r="30" spans="1:19" x14ac:dyDescent="0.25">
      <c r="A30" s="215" t="s">
        <v>230</v>
      </c>
      <c r="B30" s="209"/>
      <c r="C30" s="210"/>
      <c r="D30" s="211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3"/>
      <c r="Q30" s="212"/>
      <c r="R30" s="89"/>
      <c r="S30" s="27"/>
    </row>
    <row r="31" spans="1:19" x14ac:dyDescent="0.25">
      <c r="A31" s="266"/>
      <c r="B31" s="82"/>
      <c r="C31" s="112"/>
      <c r="D31" s="107"/>
      <c r="E31" s="86"/>
      <c r="F31" s="86"/>
      <c r="G31" s="86"/>
      <c r="H31" s="86"/>
      <c r="I31" s="86"/>
      <c r="J31" s="86"/>
      <c r="K31" s="86"/>
      <c r="L31" s="86"/>
      <c r="M31" s="86">
        <v>25.43</v>
      </c>
      <c r="N31" s="275"/>
      <c r="O31" s="86"/>
      <c r="P31" s="83"/>
      <c r="Q31" s="86"/>
      <c r="R31" s="266"/>
      <c r="S31" s="264">
        <f>ROUND(M31,2)</f>
        <v>25.43</v>
      </c>
    </row>
    <row r="32" spans="1:19" x14ac:dyDescent="0.25">
      <c r="A32" s="82" t="s">
        <v>227</v>
      </c>
      <c r="B32" s="82" t="s">
        <v>224</v>
      </c>
      <c r="C32" s="112"/>
      <c r="D32" s="107" t="s">
        <v>161</v>
      </c>
      <c r="E32" s="84">
        <v>21.69</v>
      </c>
      <c r="F32" s="84">
        <v>1.5</v>
      </c>
      <c r="G32" s="84">
        <f t="shared" ref="G32" si="20">E32+F32</f>
        <v>23.19</v>
      </c>
      <c r="H32" s="84">
        <v>2</v>
      </c>
      <c r="I32" s="84"/>
      <c r="J32" s="84"/>
      <c r="K32" s="84">
        <v>25.43</v>
      </c>
      <c r="L32" s="84"/>
      <c r="M32" s="84">
        <v>25.43</v>
      </c>
      <c r="N32" s="261"/>
      <c r="O32" s="256">
        <v>25.43</v>
      </c>
      <c r="P32" s="83">
        <v>2080</v>
      </c>
      <c r="Q32" s="84">
        <f t="shared" ref="Q32" si="21">SUM(O32-M32)*P32</f>
        <v>0</v>
      </c>
      <c r="R32" s="86">
        <f>O32*P32</f>
        <v>52894.400000000001</v>
      </c>
      <c r="S32" s="28"/>
    </row>
    <row r="33" spans="1:21" x14ac:dyDescent="0.25">
      <c r="A33" s="88" t="s">
        <v>228</v>
      </c>
      <c r="B33" s="234"/>
      <c r="C33" s="235"/>
      <c r="D33" s="236"/>
      <c r="E33" s="175"/>
      <c r="F33" s="175"/>
      <c r="G33" s="175"/>
      <c r="H33" s="175"/>
      <c r="I33" s="175"/>
      <c r="J33" s="175"/>
      <c r="K33" s="247">
        <v>2024</v>
      </c>
      <c r="L33" s="175"/>
      <c r="M33" s="175"/>
      <c r="N33" s="175"/>
      <c r="O33" s="175"/>
      <c r="P33" s="237"/>
      <c r="Q33" s="175"/>
      <c r="R33" s="175"/>
      <c r="S33" s="27"/>
      <c r="U33" s="233"/>
    </row>
    <row r="34" spans="1:21" x14ac:dyDescent="0.25">
      <c r="A34" s="265"/>
      <c r="B34" s="197"/>
      <c r="C34" s="112"/>
      <c r="D34" s="107"/>
      <c r="E34" s="86"/>
      <c r="F34" s="86"/>
      <c r="G34" s="86"/>
      <c r="H34" s="86"/>
      <c r="I34" s="86"/>
      <c r="J34" s="86"/>
      <c r="K34" s="277"/>
      <c r="L34" s="86"/>
      <c r="M34" s="86">
        <v>21.08</v>
      </c>
      <c r="N34" s="275"/>
      <c r="O34" s="86"/>
      <c r="P34" s="83"/>
      <c r="Q34" s="86"/>
      <c r="R34" s="86"/>
      <c r="S34" s="264">
        <f>ROUND(M34,2)</f>
        <v>21.08</v>
      </c>
      <c r="U34" s="233"/>
    </row>
    <row r="35" spans="1:21" x14ac:dyDescent="0.25">
      <c r="A35" s="82" t="s">
        <v>206</v>
      </c>
      <c r="B35" s="197" t="s">
        <v>255</v>
      </c>
      <c r="C35" s="113">
        <v>44151</v>
      </c>
      <c r="D35" s="107"/>
      <c r="E35" s="98"/>
      <c r="F35" s="84"/>
      <c r="G35" s="84"/>
      <c r="H35" s="84"/>
      <c r="I35" s="84">
        <v>21.08</v>
      </c>
      <c r="J35" s="84">
        <f t="shared" ref="J35" si="22">SUM(I35*5%)</f>
        <v>1.054</v>
      </c>
      <c r="K35" s="84">
        <v>21.08</v>
      </c>
      <c r="L35" s="84"/>
      <c r="M35" s="84">
        <v>21.08</v>
      </c>
      <c r="N35" s="261">
        <v>0.03</v>
      </c>
      <c r="O35" s="256">
        <f t="shared" ref="O35:O36" si="23">ROUND(SUM(N35*M35)+M35,2)</f>
        <v>21.71</v>
      </c>
      <c r="P35" s="97">
        <v>2080</v>
      </c>
      <c r="Q35" s="84">
        <f>SUM(O35-M35)*P35</f>
        <v>1310.4000000000053</v>
      </c>
      <c r="R35" s="86">
        <f>O35*P35</f>
        <v>45156.800000000003</v>
      </c>
      <c r="S35" s="34"/>
    </row>
    <row r="36" spans="1:21" x14ac:dyDescent="0.25">
      <c r="A36" s="81" t="s">
        <v>212</v>
      </c>
      <c r="B36" s="82" t="s">
        <v>207</v>
      </c>
      <c r="C36" s="110">
        <v>44763</v>
      </c>
      <c r="D36" s="83"/>
      <c r="E36" s="84">
        <v>0</v>
      </c>
      <c r="F36" s="84" t="s">
        <v>205</v>
      </c>
      <c r="G36" s="84">
        <v>16.07</v>
      </c>
      <c r="H36" s="84">
        <v>5.01</v>
      </c>
      <c r="I36" s="84">
        <f>SUM(G36+H36)</f>
        <v>21.08</v>
      </c>
      <c r="J36" s="84">
        <f t="shared" ref="J36" si="24">SUM(I36*5%)</f>
        <v>1.054</v>
      </c>
      <c r="K36" s="84">
        <f>ROUND(SUM(I36+J36),2)</f>
        <v>22.13</v>
      </c>
      <c r="L36" s="84"/>
      <c r="M36" s="84">
        <v>22.13</v>
      </c>
      <c r="N36" s="261">
        <v>0.03</v>
      </c>
      <c r="O36" s="256">
        <f t="shared" si="23"/>
        <v>22.79</v>
      </c>
      <c r="P36" s="85">
        <v>1040</v>
      </c>
      <c r="Q36" s="84">
        <f>SUM(O36-M36)*P36</f>
        <v>686.40000000000009</v>
      </c>
      <c r="R36" s="86">
        <f>O36*P36</f>
        <v>23701.599999999999</v>
      </c>
      <c r="S36" s="34"/>
    </row>
    <row r="37" spans="1:21" x14ac:dyDescent="0.25">
      <c r="A37" s="82" t="s">
        <v>155</v>
      </c>
      <c r="B37" s="96"/>
      <c r="C37" s="96"/>
      <c r="D37" s="92"/>
      <c r="E37" s="98"/>
      <c r="F37" s="84">
        <v>1</v>
      </c>
      <c r="G37" s="84"/>
      <c r="H37" s="84">
        <v>1</v>
      </c>
      <c r="I37" s="84"/>
      <c r="J37" s="84">
        <v>1</v>
      </c>
      <c r="K37" s="84"/>
      <c r="L37" s="84"/>
      <c r="M37" s="84"/>
      <c r="N37" s="84"/>
      <c r="O37" s="84"/>
      <c r="P37" s="97">
        <v>13000</v>
      </c>
      <c r="Q37" s="93">
        <f>F37*P37</f>
        <v>13000</v>
      </c>
      <c r="R37" s="84">
        <v>13000</v>
      </c>
      <c r="S37" s="238"/>
    </row>
    <row r="38" spans="1:21" ht="16.5" customHeight="1" x14ac:dyDescent="0.25">
      <c r="A38" s="327" t="s">
        <v>225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</row>
    <row r="39" spans="1:21" ht="15.75" thickBot="1" x14ac:dyDescent="0.3">
      <c r="A39" s="99" t="s">
        <v>138</v>
      </c>
      <c r="B39" s="100"/>
      <c r="C39" s="100"/>
      <c r="D39" s="101"/>
      <c r="E39" s="102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3"/>
      <c r="Q39" s="103">
        <f>SUM(Q3:Q38)</f>
        <v>53904.000000000029</v>
      </c>
      <c r="R39" s="103">
        <f>SUM(R3:R38)</f>
        <v>1294509.5999999999</v>
      </c>
    </row>
  </sheetData>
  <mergeCells count="1">
    <mergeCell ref="A38:R38"/>
  </mergeCells>
  <pageMargins left="0.25" right="0.25" top="0.75" bottom="0.75" header="0.3" footer="0.3"/>
  <pageSetup fitToHeight="0" orientation="landscape" r:id="rId1"/>
  <headerFooter>
    <oddHeader xml:space="preserve">&amp;CCuster County Sheriff &amp; Dispatch 
2025
&amp;RRevised  1/22/25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"/>
  <sheetViews>
    <sheetView view="pageLayout" zoomScaleNormal="100" workbookViewId="0">
      <selection activeCell="P12" sqref="P12"/>
    </sheetView>
  </sheetViews>
  <sheetFormatPr defaultRowHeight="15" x14ac:dyDescent="0.25"/>
  <cols>
    <col min="1" max="1" width="24.85546875" customWidth="1"/>
    <col min="2" max="2" width="10.140625" customWidth="1"/>
    <col min="3" max="3" width="9.28515625" hidden="1" customWidth="1"/>
    <col min="4" max="4" width="9.42578125" hidden="1" customWidth="1"/>
    <col min="5" max="5" width="10.7109375" hidden="1" customWidth="1"/>
    <col min="6" max="6" width="11.7109375" hidden="1" customWidth="1"/>
    <col min="7" max="7" width="6.140625" hidden="1" customWidth="1"/>
    <col min="8" max="8" width="10.85546875" style="50" hidden="1" customWidth="1"/>
    <col min="9" max="9" width="11.7109375" hidden="1" customWidth="1"/>
    <col min="10" max="10" width="12.42578125" hidden="1" customWidth="1"/>
    <col min="11" max="11" width="12" hidden="1" customWidth="1"/>
    <col min="12" max="12" width="11" hidden="1" customWidth="1"/>
    <col min="13" max="13" width="12" bestFit="1" customWidth="1"/>
    <col min="14" max="14" width="7.42578125" customWidth="1"/>
    <col min="15" max="15" width="13.42578125" customWidth="1"/>
    <col min="16" max="16" width="15.140625" customWidth="1"/>
  </cols>
  <sheetData>
    <row r="1" spans="1:16" s="49" customFormat="1" ht="30" x14ac:dyDescent="0.25">
      <c r="A1" s="231"/>
      <c r="B1" s="158" t="s">
        <v>171</v>
      </c>
      <c r="C1" s="159" t="s">
        <v>104</v>
      </c>
      <c r="D1" s="159" t="s">
        <v>105</v>
      </c>
      <c r="E1" s="159">
        <v>2020</v>
      </c>
      <c r="F1" s="159">
        <v>2021</v>
      </c>
      <c r="G1" s="159" t="s">
        <v>197</v>
      </c>
      <c r="H1" s="160" t="s">
        <v>38</v>
      </c>
      <c r="I1" s="161">
        <v>2022</v>
      </c>
      <c r="J1" s="160" t="s">
        <v>38</v>
      </c>
      <c r="K1" s="243">
        <v>2023</v>
      </c>
      <c r="L1" s="160" t="s">
        <v>38</v>
      </c>
      <c r="M1" s="161" t="s">
        <v>276</v>
      </c>
      <c r="N1" s="285" t="s">
        <v>267</v>
      </c>
      <c r="O1" s="285" t="s">
        <v>151</v>
      </c>
      <c r="P1" s="286" t="s">
        <v>275</v>
      </c>
    </row>
    <row r="2" spans="1:16" x14ac:dyDescent="0.25">
      <c r="A2" s="138" t="s">
        <v>106</v>
      </c>
      <c r="B2" s="163"/>
      <c r="C2" s="164"/>
      <c r="D2" s="164"/>
      <c r="E2" s="164"/>
      <c r="F2" s="164"/>
      <c r="G2" s="164"/>
      <c r="H2" s="165"/>
      <c r="I2" s="166"/>
      <c r="J2" s="165"/>
      <c r="K2" s="244"/>
      <c r="L2" s="165"/>
      <c r="M2" s="284"/>
      <c r="N2" s="290"/>
      <c r="O2" s="280"/>
      <c r="P2" s="283"/>
    </row>
    <row r="3" spans="1:16" x14ac:dyDescent="0.25">
      <c r="A3" s="143" t="s">
        <v>186</v>
      </c>
      <c r="B3" s="152">
        <v>44501</v>
      </c>
      <c r="C3" s="168" t="s">
        <v>160</v>
      </c>
      <c r="D3" s="168" t="s">
        <v>160</v>
      </c>
      <c r="E3" s="169"/>
      <c r="F3" s="170">
        <v>47000</v>
      </c>
      <c r="G3" s="82">
        <v>2080</v>
      </c>
      <c r="H3" s="84">
        <v>3000</v>
      </c>
      <c r="I3" s="171">
        <f t="shared" ref="I3:I15" si="0">F3+H3</f>
        <v>50000</v>
      </c>
      <c r="J3" s="162">
        <f>SUM(2080*1.5)</f>
        <v>3120</v>
      </c>
      <c r="K3" s="171">
        <f>I3+J3</f>
        <v>53120</v>
      </c>
      <c r="L3" s="162">
        <f>ROUND(SUM(K3*5%),2)</f>
        <v>2656</v>
      </c>
      <c r="M3" s="171">
        <f>ROUND(SUM(K3+L3),2)</f>
        <v>55776</v>
      </c>
      <c r="N3" s="287">
        <v>0.03</v>
      </c>
      <c r="O3" s="288">
        <f>M3*N3</f>
        <v>1673.28</v>
      </c>
      <c r="P3" s="289">
        <f>SUM(M3+O3)</f>
        <v>57449.279999999999</v>
      </c>
    </row>
    <row r="4" spans="1:16" x14ac:dyDescent="0.25">
      <c r="A4" s="143" t="s">
        <v>187</v>
      </c>
      <c r="B4" s="152">
        <v>43347</v>
      </c>
      <c r="C4" s="168" t="s">
        <v>108</v>
      </c>
      <c r="D4" s="168" t="s">
        <v>109</v>
      </c>
      <c r="E4" s="172">
        <v>40000</v>
      </c>
      <c r="F4" s="170">
        <f>SUM(E4*1.02)</f>
        <v>40800</v>
      </c>
      <c r="G4" s="82">
        <v>2080</v>
      </c>
      <c r="H4" s="84">
        <f t="shared" ref="H4:H15" si="1">G4*1.5</f>
        <v>3120</v>
      </c>
      <c r="I4" s="171">
        <f t="shared" si="0"/>
        <v>43920</v>
      </c>
      <c r="J4" s="162">
        <f>SUM(2080*1.5)</f>
        <v>3120</v>
      </c>
      <c r="K4" s="171">
        <f>I4+J4</f>
        <v>47040</v>
      </c>
      <c r="L4" s="162">
        <f>ROUND(SUM(K4*5%),2)</f>
        <v>2352</v>
      </c>
      <c r="M4" s="171">
        <f>ROUND(SUM(K4+L4),2)</f>
        <v>49392</v>
      </c>
      <c r="N4" s="278">
        <v>0.03</v>
      </c>
      <c r="O4" s="279">
        <f t="shared" ref="O4:O6" si="2">M4*N4</f>
        <v>1481.76</v>
      </c>
      <c r="P4" s="282">
        <f t="shared" ref="P4:P6" si="3">SUM(M4+O4)</f>
        <v>50873.760000000002</v>
      </c>
    </row>
    <row r="5" spans="1:16" x14ac:dyDescent="0.25">
      <c r="A5" s="173" t="s">
        <v>214</v>
      </c>
      <c r="B5" s="152">
        <v>43920</v>
      </c>
      <c r="C5" s="168"/>
      <c r="D5" s="168"/>
      <c r="E5" s="170"/>
      <c r="F5" s="170"/>
      <c r="G5" s="82">
        <v>2080</v>
      </c>
      <c r="H5" s="86"/>
      <c r="I5" s="171">
        <v>47500</v>
      </c>
      <c r="J5" s="162">
        <f>SUM(2080*1.5)</f>
        <v>3120</v>
      </c>
      <c r="K5" s="171">
        <v>47000</v>
      </c>
      <c r="L5" s="162">
        <f>ROUND(SUM(K5*5%),2)</f>
        <v>2350</v>
      </c>
      <c r="M5" s="171">
        <v>52350</v>
      </c>
      <c r="N5" s="278">
        <v>0.03</v>
      </c>
      <c r="O5" s="279">
        <f t="shared" si="2"/>
        <v>1570.5</v>
      </c>
      <c r="P5" s="282">
        <f t="shared" si="3"/>
        <v>53920.5</v>
      </c>
    </row>
    <row r="6" spans="1:16" x14ac:dyDescent="0.25">
      <c r="A6" s="173" t="s">
        <v>188</v>
      </c>
      <c r="B6" s="174">
        <v>41913</v>
      </c>
      <c r="C6" s="168" t="s">
        <v>110</v>
      </c>
      <c r="D6" s="168" t="s">
        <v>110</v>
      </c>
      <c r="E6" s="170">
        <v>52020</v>
      </c>
      <c r="F6" s="170">
        <f>SUM(E6*1.02)</f>
        <v>53060.4</v>
      </c>
      <c r="G6" s="82">
        <v>2080</v>
      </c>
      <c r="H6" s="84">
        <f t="shared" si="1"/>
        <v>3120</v>
      </c>
      <c r="I6" s="171">
        <f>F6+H6</f>
        <v>56180.4</v>
      </c>
      <c r="J6" s="162">
        <f>SUM(2080*1.5)</f>
        <v>3120</v>
      </c>
      <c r="K6" s="171">
        <f>I6+J6</f>
        <v>59300.4</v>
      </c>
      <c r="L6" s="162">
        <f>ROUND(SUM(K6*5%),2)</f>
        <v>2965.02</v>
      </c>
      <c r="M6" s="171">
        <v>62275.42</v>
      </c>
      <c r="N6" s="278">
        <v>0.03</v>
      </c>
      <c r="O6" s="279">
        <f t="shared" si="2"/>
        <v>1868.2625999999998</v>
      </c>
      <c r="P6" s="282">
        <f t="shared" si="3"/>
        <v>64143.6826</v>
      </c>
    </row>
    <row r="7" spans="1:16" x14ac:dyDescent="0.25">
      <c r="A7" s="138" t="s">
        <v>111</v>
      </c>
      <c r="B7" s="163"/>
      <c r="C7" s="164"/>
      <c r="D7" s="164"/>
      <c r="E7" s="164"/>
      <c r="F7" s="164"/>
      <c r="G7" s="164"/>
      <c r="H7" s="175"/>
      <c r="I7" s="175"/>
      <c r="J7" s="175"/>
      <c r="K7" s="86"/>
      <c r="L7" s="175"/>
      <c r="M7" s="175"/>
      <c r="N7" s="280"/>
      <c r="O7" s="280"/>
      <c r="P7" s="283"/>
    </row>
    <row r="8" spans="1:16" x14ac:dyDescent="0.25">
      <c r="A8" s="173" t="s">
        <v>189</v>
      </c>
      <c r="B8" s="174">
        <v>38358</v>
      </c>
      <c r="C8" s="168" t="s">
        <v>112</v>
      </c>
      <c r="D8" s="168" t="s">
        <v>113</v>
      </c>
      <c r="E8" s="170">
        <v>53917.06</v>
      </c>
      <c r="F8" s="170">
        <f t="shared" ref="F8:F11" si="4">SUM(E8*1.02)+2500</f>
        <v>57495.4012</v>
      </c>
      <c r="G8" s="176">
        <v>2080</v>
      </c>
      <c r="H8" s="86">
        <v>25624.6</v>
      </c>
      <c r="I8" s="171">
        <f t="shared" si="0"/>
        <v>83120.001199999999</v>
      </c>
      <c r="J8" s="162">
        <f>SUM(2080*1.5)</f>
        <v>3120</v>
      </c>
      <c r="K8" s="171">
        <v>86240</v>
      </c>
      <c r="L8" s="162">
        <v>4000</v>
      </c>
      <c r="M8" s="171">
        <f>ROUND(SUM(K8+L8),2)</f>
        <v>90240</v>
      </c>
      <c r="N8" s="278">
        <v>0.03</v>
      </c>
      <c r="O8" s="279">
        <f>M8*N8</f>
        <v>2707.2</v>
      </c>
      <c r="P8" s="282">
        <f t="shared" ref="P8:P12" si="5">SUM(M8+O8)</f>
        <v>92947.199999999997</v>
      </c>
    </row>
    <row r="9" spans="1:16" x14ac:dyDescent="0.25">
      <c r="A9" s="143" t="s">
        <v>263</v>
      </c>
      <c r="B9" s="152">
        <v>45054</v>
      </c>
      <c r="C9" s="168" t="s">
        <v>114</v>
      </c>
      <c r="D9" s="168" t="s">
        <v>114</v>
      </c>
      <c r="E9" s="170">
        <v>51459.839999999997</v>
      </c>
      <c r="F9" s="170">
        <f t="shared" si="4"/>
        <v>54989.036799999994</v>
      </c>
      <c r="G9" s="176">
        <v>2080</v>
      </c>
      <c r="H9" s="84">
        <f t="shared" si="1"/>
        <v>3120</v>
      </c>
      <c r="I9" s="171">
        <f t="shared" si="0"/>
        <v>58109.036799999994</v>
      </c>
      <c r="J9" s="162">
        <f>SUM(2080*1.5)</f>
        <v>3120</v>
      </c>
      <c r="K9" s="171">
        <f>I9+J9</f>
        <v>61229.036799999994</v>
      </c>
      <c r="L9" s="162">
        <f>ROUND(SUM(K9*5%),2)</f>
        <v>3061.45</v>
      </c>
      <c r="M9" s="171">
        <v>56500.08</v>
      </c>
      <c r="N9" s="278">
        <v>0.03</v>
      </c>
      <c r="O9" s="279">
        <f t="shared" ref="O9:O12" si="6">M9*N9</f>
        <v>1695.0024000000001</v>
      </c>
      <c r="P9" s="282">
        <f t="shared" si="5"/>
        <v>58195.082399999999</v>
      </c>
    </row>
    <row r="10" spans="1:16" x14ac:dyDescent="0.25">
      <c r="A10" s="81" t="s">
        <v>243</v>
      </c>
      <c r="B10" s="177">
        <v>42401</v>
      </c>
      <c r="C10" s="178" t="s">
        <v>115</v>
      </c>
      <c r="D10" s="178" t="s">
        <v>116</v>
      </c>
      <c r="E10" s="167">
        <v>54500</v>
      </c>
      <c r="F10" s="93">
        <v>58090</v>
      </c>
      <c r="G10" s="176">
        <v>2080</v>
      </c>
      <c r="H10" s="84">
        <f t="shared" si="1"/>
        <v>3120</v>
      </c>
      <c r="I10" s="171">
        <f t="shared" si="0"/>
        <v>61210</v>
      </c>
      <c r="J10" s="84">
        <f>SUM(2080*1.5)+6000</f>
        <v>9120</v>
      </c>
      <c r="K10" s="171">
        <f>I10+J10</f>
        <v>70330</v>
      </c>
      <c r="L10" s="162">
        <f>ROUND(SUM(K10*5%),2)</f>
        <v>3516.5</v>
      </c>
      <c r="M10" s="171">
        <v>73846.559999999998</v>
      </c>
      <c r="N10" s="278">
        <v>0.03</v>
      </c>
      <c r="O10" s="279">
        <f t="shared" si="6"/>
        <v>2215.3968</v>
      </c>
      <c r="P10" s="282">
        <f t="shared" si="5"/>
        <v>76061.9568</v>
      </c>
    </row>
    <row r="11" spans="1:16" x14ac:dyDescent="0.25">
      <c r="A11" s="81" t="s">
        <v>210</v>
      </c>
      <c r="B11" s="177">
        <v>41078</v>
      </c>
      <c r="C11" s="178" t="s">
        <v>117</v>
      </c>
      <c r="D11" s="178" t="s">
        <v>118</v>
      </c>
      <c r="E11" s="167">
        <v>44116</v>
      </c>
      <c r="F11" s="167">
        <f t="shared" si="4"/>
        <v>47498.32</v>
      </c>
      <c r="G11" s="176">
        <v>2080</v>
      </c>
      <c r="H11" s="84">
        <f t="shared" si="1"/>
        <v>3120</v>
      </c>
      <c r="I11" s="171">
        <f t="shared" si="0"/>
        <v>50618.32</v>
      </c>
      <c r="J11" s="162">
        <f>SUM(2080*1.5)</f>
        <v>3120</v>
      </c>
      <c r="K11" s="171">
        <f>I11+J11</f>
        <v>53738.32</v>
      </c>
      <c r="L11" s="162">
        <f>ROUND(SUM(K11*5%),2)</f>
        <v>2686.92</v>
      </c>
      <c r="M11" s="171">
        <v>56425.2</v>
      </c>
      <c r="N11" s="278">
        <v>0.03</v>
      </c>
      <c r="O11" s="279">
        <f t="shared" si="6"/>
        <v>1692.7559999999999</v>
      </c>
      <c r="P11" s="282">
        <f t="shared" si="5"/>
        <v>58117.955999999998</v>
      </c>
    </row>
    <row r="12" spans="1:16" x14ac:dyDescent="0.25">
      <c r="A12" s="230" t="s">
        <v>190</v>
      </c>
      <c r="B12" s="179">
        <v>44256</v>
      </c>
      <c r="C12" s="168" t="s">
        <v>119</v>
      </c>
      <c r="D12" s="168" t="s">
        <v>119</v>
      </c>
      <c r="E12" s="170"/>
      <c r="F12" s="167">
        <v>50000</v>
      </c>
      <c r="G12" s="176">
        <v>2080</v>
      </c>
      <c r="H12" s="84">
        <f t="shared" si="1"/>
        <v>3120</v>
      </c>
      <c r="I12" s="171">
        <f t="shared" si="0"/>
        <v>53120</v>
      </c>
      <c r="J12" s="162">
        <f>SUM(2080*1.5)</f>
        <v>3120</v>
      </c>
      <c r="K12" s="171">
        <v>56240</v>
      </c>
      <c r="L12" s="162">
        <f>ROUND(SUM(K12*5%),2)</f>
        <v>2812</v>
      </c>
      <c r="M12" s="171">
        <f>ROUND(SUM(K12+L12),2)</f>
        <v>59052</v>
      </c>
      <c r="N12" s="278">
        <v>0.03</v>
      </c>
      <c r="O12" s="279">
        <f t="shared" si="6"/>
        <v>1771.56</v>
      </c>
      <c r="P12" s="282">
        <f t="shared" si="5"/>
        <v>60823.56</v>
      </c>
    </row>
    <row r="13" spans="1:16" x14ac:dyDescent="0.25">
      <c r="A13" s="138" t="s">
        <v>120</v>
      </c>
      <c r="B13" s="163"/>
      <c r="C13" s="164"/>
      <c r="D13" s="164"/>
      <c r="E13" s="164"/>
      <c r="F13" s="164"/>
      <c r="G13" s="164"/>
      <c r="H13" s="175"/>
      <c r="I13" s="180"/>
      <c r="J13" s="175"/>
      <c r="K13" s="245"/>
      <c r="L13" s="175"/>
      <c r="M13" s="180"/>
      <c r="N13" s="280"/>
      <c r="O13" s="280"/>
      <c r="P13" s="283"/>
    </row>
    <row r="14" spans="1:16" x14ac:dyDescent="0.25">
      <c r="A14" s="143" t="s">
        <v>191</v>
      </c>
      <c r="B14" s="152">
        <v>41890</v>
      </c>
      <c r="C14" s="181" t="s">
        <v>121</v>
      </c>
      <c r="D14" s="181" t="s">
        <v>107</v>
      </c>
      <c r="E14" s="86">
        <v>74623.360000000001</v>
      </c>
      <c r="F14" s="170">
        <f>SUM(E14*1.02)</f>
        <v>76115.8272</v>
      </c>
      <c r="G14" s="176">
        <v>2080</v>
      </c>
      <c r="H14" s="86">
        <f>G14*1.5</f>
        <v>3120</v>
      </c>
      <c r="I14" s="171">
        <f t="shared" si="0"/>
        <v>79235.8272</v>
      </c>
      <c r="J14" s="86">
        <f>SUM(2080*2)</f>
        <v>4160</v>
      </c>
      <c r="K14" s="171">
        <f>I14+J14</f>
        <v>83395.8272</v>
      </c>
      <c r="L14" s="162">
        <v>4000</v>
      </c>
      <c r="M14" s="171">
        <v>87395.76</v>
      </c>
      <c r="N14" s="278">
        <v>0.03</v>
      </c>
      <c r="O14" s="279">
        <f t="shared" ref="O14:O15" si="7">M14*N14</f>
        <v>2621.8727999999996</v>
      </c>
      <c r="P14" s="282">
        <f t="shared" ref="P14:P15" si="8">SUM(M14+O14)</f>
        <v>90017.632799999992</v>
      </c>
    </row>
    <row r="15" spans="1:16" x14ac:dyDescent="0.25">
      <c r="A15" s="143" t="s">
        <v>192</v>
      </c>
      <c r="B15" s="152">
        <v>38358</v>
      </c>
      <c r="C15" s="181" t="s">
        <v>122</v>
      </c>
      <c r="D15" s="181" t="s">
        <v>123</v>
      </c>
      <c r="E15" s="84">
        <v>61425.22</v>
      </c>
      <c r="F15" s="182">
        <v>115000</v>
      </c>
      <c r="G15" s="183">
        <v>2080</v>
      </c>
      <c r="H15" s="84">
        <f t="shared" si="1"/>
        <v>3120</v>
      </c>
      <c r="I15" s="171">
        <f t="shared" si="0"/>
        <v>118120</v>
      </c>
      <c r="J15" s="162">
        <f>SUM(2080*1.5)</f>
        <v>3120</v>
      </c>
      <c r="K15" s="171">
        <f>I15+J15</f>
        <v>121240</v>
      </c>
      <c r="L15" s="162">
        <v>4000</v>
      </c>
      <c r="M15" s="171">
        <v>125239.92</v>
      </c>
      <c r="N15" s="278">
        <v>0.03</v>
      </c>
      <c r="O15" s="279">
        <f t="shared" si="7"/>
        <v>3757.1976</v>
      </c>
      <c r="P15" s="282">
        <f t="shared" si="8"/>
        <v>128997.1176</v>
      </c>
    </row>
    <row r="16" spans="1:16" s="53" customFormat="1" ht="24" customHeight="1" thickBot="1" x14ac:dyDescent="0.3">
      <c r="A16" s="184" t="s">
        <v>138</v>
      </c>
      <c r="B16" s="185"/>
      <c r="C16" s="186"/>
      <c r="D16" s="187"/>
      <c r="E16" s="187"/>
      <c r="F16" s="187"/>
      <c r="G16" s="187"/>
      <c r="H16" s="100">
        <f t="shared" ref="H16:M16" si="9">SUM(H2:H15)</f>
        <v>53584.6</v>
      </c>
      <c r="I16" s="188">
        <f t="shared" si="9"/>
        <v>701133.58519999997</v>
      </c>
      <c r="J16" s="100">
        <f t="shared" si="9"/>
        <v>41360</v>
      </c>
      <c r="K16" s="246">
        <f t="shared" si="9"/>
        <v>738873.58400000003</v>
      </c>
      <c r="L16" s="100">
        <f t="shared" si="9"/>
        <v>34399.89</v>
      </c>
      <c r="M16" s="188">
        <f t="shared" si="9"/>
        <v>768492.94000000006</v>
      </c>
      <c r="N16" s="281"/>
      <c r="O16" s="100">
        <f>SUM(O2:O15)</f>
        <v>23054.788199999999</v>
      </c>
      <c r="P16" s="188">
        <f>SUM(P2:P15)</f>
        <v>791547.72820000001</v>
      </c>
    </row>
  </sheetData>
  <pageMargins left="0.25" right="0.25" top="0.75" bottom="0.75" header="0.3" footer="0.3"/>
  <pageSetup orientation="landscape" r:id="rId1"/>
  <headerFooter>
    <oddHeader xml:space="preserve">&amp;C2025 Custer County Salaried Employees
2025&amp;RCreated  12/5/24
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view="pageLayout" topLeftCell="A8" zoomScale="120" zoomScaleNormal="100" zoomScalePageLayoutView="120" workbookViewId="0">
      <selection activeCell="L29" sqref="L29"/>
    </sheetView>
  </sheetViews>
  <sheetFormatPr defaultRowHeight="15" x14ac:dyDescent="0.25"/>
  <cols>
    <col min="1" max="1" width="24.42578125" customWidth="1"/>
    <col min="2" max="2" width="10.42578125" bestFit="1" customWidth="1"/>
    <col min="3" max="3" width="6.5703125" customWidth="1"/>
    <col min="4" max="4" width="10.85546875" hidden="1" customWidth="1"/>
    <col min="5" max="5" width="14" hidden="1" customWidth="1"/>
    <col min="6" max="6" width="9.5703125" hidden="1" customWidth="1"/>
    <col min="7" max="7" width="12.85546875" hidden="1" customWidth="1"/>
    <col min="8" max="8" width="9.5703125" hidden="1" customWidth="1"/>
    <col min="9" max="9" width="12.85546875" customWidth="1"/>
    <col min="10" max="10" width="6.7109375" customWidth="1"/>
    <col min="11" max="11" width="10.42578125" customWidth="1"/>
    <col min="12" max="12" width="12.140625" customWidth="1"/>
    <col min="13" max="13" width="10.42578125" customWidth="1"/>
  </cols>
  <sheetData>
    <row r="1" spans="1:13" ht="29.25" customHeight="1" x14ac:dyDescent="0.25">
      <c r="A1" s="148" t="s">
        <v>127</v>
      </c>
      <c r="B1" s="149" t="s">
        <v>171</v>
      </c>
      <c r="C1" s="150" t="s">
        <v>131</v>
      </c>
      <c r="D1" s="151" t="s">
        <v>128</v>
      </c>
      <c r="E1" s="150" t="s">
        <v>39</v>
      </c>
      <c r="F1" s="149" t="s">
        <v>136</v>
      </c>
      <c r="G1" s="89" t="s">
        <v>170</v>
      </c>
      <c r="H1" s="149" t="s">
        <v>38</v>
      </c>
      <c r="I1" s="89" t="s">
        <v>276</v>
      </c>
      <c r="J1" s="89" t="s">
        <v>267</v>
      </c>
      <c r="K1" s="241" t="s">
        <v>151</v>
      </c>
      <c r="L1" s="89" t="s">
        <v>275</v>
      </c>
    </row>
    <row r="2" spans="1:13" x14ac:dyDescent="0.25">
      <c r="A2" s="81" t="s">
        <v>129</v>
      </c>
      <c r="B2" s="121" t="s">
        <v>174</v>
      </c>
      <c r="C2" s="121"/>
      <c r="D2" s="121">
        <v>3000</v>
      </c>
      <c r="E2" s="122">
        <f>D2+F2</f>
        <v>3000</v>
      </c>
      <c r="F2" s="121"/>
      <c r="G2" s="121">
        <f>F2+E2</f>
        <v>3000</v>
      </c>
      <c r="H2" s="121"/>
      <c r="I2" s="121">
        <f>G2+F2</f>
        <v>3000</v>
      </c>
      <c r="J2" s="291"/>
      <c r="K2" s="121"/>
      <c r="L2" s="121">
        <v>3000</v>
      </c>
    </row>
    <row r="3" spans="1:13" x14ac:dyDescent="0.25">
      <c r="A3" s="81" t="s">
        <v>177</v>
      </c>
      <c r="B3" s="121" t="s">
        <v>174</v>
      </c>
      <c r="C3" s="121"/>
      <c r="D3" s="121">
        <v>4000</v>
      </c>
      <c r="E3" s="122">
        <f>D3+F3</f>
        <v>4000</v>
      </c>
      <c r="F3" s="121"/>
      <c r="G3" s="121">
        <f>F3+E3</f>
        <v>4000</v>
      </c>
      <c r="H3" s="121"/>
      <c r="I3" s="121">
        <f>G3+F3</f>
        <v>4000</v>
      </c>
      <c r="J3" s="291"/>
      <c r="K3" s="121"/>
      <c r="L3" s="121">
        <v>4000</v>
      </c>
    </row>
    <row r="4" spans="1:13" x14ac:dyDescent="0.25">
      <c r="A4" s="81" t="s">
        <v>231</v>
      </c>
      <c r="B4" s="121" t="s">
        <v>174</v>
      </c>
      <c r="C4" s="121"/>
      <c r="D4" s="121">
        <v>2000</v>
      </c>
      <c r="E4" s="122">
        <f>D4+F4</f>
        <v>2000</v>
      </c>
      <c r="F4" s="121"/>
      <c r="G4" s="121">
        <f>F4+E4</f>
        <v>2000</v>
      </c>
      <c r="H4" s="121"/>
      <c r="I4" s="121">
        <f>G4+F4</f>
        <v>2000</v>
      </c>
      <c r="J4" s="291"/>
      <c r="K4" s="121"/>
      <c r="L4" s="121">
        <v>2000</v>
      </c>
    </row>
    <row r="5" spans="1:13" x14ac:dyDescent="0.25">
      <c r="A5" s="81" t="s">
        <v>204</v>
      </c>
      <c r="B5" s="110">
        <v>39281</v>
      </c>
      <c r="C5" s="121"/>
      <c r="D5" s="121">
        <v>7200</v>
      </c>
      <c r="E5" s="122">
        <v>7200</v>
      </c>
      <c r="F5" s="121">
        <v>3120</v>
      </c>
      <c r="G5" s="121">
        <v>10320</v>
      </c>
      <c r="H5" s="121">
        <f>ROUND(SUM(G5*5%),2)</f>
        <v>516</v>
      </c>
      <c r="I5" s="121">
        <f>SUM(G5+H5)</f>
        <v>10836</v>
      </c>
      <c r="J5" s="291">
        <v>0.03</v>
      </c>
      <c r="K5" s="298">
        <f>I5*J5</f>
        <v>325.08</v>
      </c>
      <c r="L5" s="299">
        <f>SUM(I5+K5)</f>
        <v>11161.08</v>
      </c>
      <c r="M5" s="324" t="s">
        <v>279</v>
      </c>
    </row>
    <row r="6" spans="1:13" x14ac:dyDescent="0.25">
      <c r="A6" s="123" t="s">
        <v>264</v>
      </c>
      <c r="B6" s="124"/>
      <c r="C6" s="124"/>
      <c r="D6" s="124">
        <f>SUM(D2:D5)</f>
        <v>16200</v>
      </c>
      <c r="E6" s="124">
        <f>SUM(E2:E5)</f>
        <v>16200</v>
      </c>
      <c r="F6" s="124" t="s">
        <v>174</v>
      </c>
      <c r="G6" s="124">
        <f>SUM(G2:G5)</f>
        <v>19320</v>
      </c>
      <c r="H6" s="124" t="s">
        <v>174</v>
      </c>
      <c r="I6" s="124">
        <f>SUM(I2:I5)</f>
        <v>19836</v>
      </c>
      <c r="J6" s="292"/>
      <c r="K6" s="124"/>
      <c r="L6" s="124">
        <f>SUM(L2:L5)</f>
        <v>20161.080000000002</v>
      </c>
    </row>
    <row r="7" spans="1:13" x14ac:dyDescent="0.25">
      <c r="A7" s="88" t="s">
        <v>183</v>
      </c>
      <c r="B7" s="126" t="s">
        <v>171</v>
      </c>
      <c r="C7" s="126" t="s">
        <v>131</v>
      </c>
      <c r="D7" s="126" t="s">
        <v>137</v>
      </c>
      <c r="E7" s="127" t="s">
        <v>39</v>
      </c>
      <c r="F7" s="126" t="s">
        <v>136</v>
      </c>
      <c r="G7" s="89" t="s">
        <v>170</v>
      </c>
      <c r="H7" s="126" t="s">
        <v>38</v>
      </c>
      <c r="I7" s="89" t="s">
        <v>211</v>
      </c>
      <c r="J7" s="293"/>
      <c r="K7" s="89"/>
      <c r="L7" s="89"/>
    </row>
    <row r="8" spans="1:13" x14ac:dyDescent="0.25">
      <c r="A8" s="81" t="s">
        <v>184</v>
      </c>
      <c r="B8" s="110">
        <v>43502</v>
      </c>
      <c r="C8" s="128">
        <v>2080</v>
      </c>
      <c r="D8" s="121">
        <v>22.21</v>
      </c>
      <c r="E8" s="130">
        <v>46200</v>
      </c>
      <c r="F8" s="119">
        <v>3120</v>
      </c>
      <c r="G8" s="121">
        <v>49320</v>
      </c>
      <c r="H8" s="121">
        <f>ROUND(SUM(G8*5%),2)</f>
        <v>2466</v>
      </c>
      <c r="I8" s="121">
        <v>51792</v>
      </c>
      <c r="J8" s="291">
        <v>0.03</v>
      </c>
      <c r="K8" s="298">
        <v>1708</v>
      </c>
      <c r="L8" s="299">
        <f>SUM(I8+K8)</f>
        <v>53500</v>
      </c>
    </row>
    <row r="9" spans="1:13" x14ac:dyDescent="0.25">
      <c r="A9" s="81" t="s">
        <v>213</v>
      </c>
      <c r="B9" s="110"/>
      <c r="C9" s="128"/>
      <c r="D9" s="121"/>
      <c r="E9" s="130"/>
      <c r="F9" s="119"/>
      <c r="G9" s="121">
        <f>SUM(200*300)</f>
        <v>60000</v>
      </c>
      <c r="H9" s="121"/>
      <c r="I9" s="121">
        <f>SUM(G9+H9)</f>
        <v>60000</v>
      </c>
      <c r="J9" s="291"/>
      <c r="K9" s="121"/>
      <c r="L9" s="121">
        <v>60000</v>
      </c>
    </row>
    <row r="10" spans="1:13" x14ac:dyDescent="0.25">
      <c r="A10" s="123" t="s">
        <v>194</v>
      </c>
      <c r="B10" s="110"/>
      <c r="C10" s="128"/>
      <c r="D10" s="121"/>
      <c r="E10" s="130"/>
      <c r="F10" s="131"/>
      <c r="G10" s="124">
        <f>SUM(G8:G8)</f>
        <v>49320</v>
      </c>
      <c r="H10" s="131"/>
      <c r="I10" s="124">
        <f>SUM(I8:I8)</f>
        <v>51792</v>
      </c>
      <c r="J10" s="292"/>
      <c r="K10" s="124"/>
      <c r="L10" s="124">
        <f>SUM(L8:L9)</f>
        <v>113500</v>
      </c>
      <c r="M10" t="s">
        <v>219</v>
      </c>
    </row>
    <row r="11" spans="1:13" x14ac:dyDescent="0.25">
      <c r="A11" s="88" t="s">
        <v>130</v>
      </c>
      <c r="B11" s="126" t="s">
        <v>171</v>
      </c>
      <c r="C11" s="132" t="s">
        <v>131</v>
      </c>
      <c r="D11" s="126" t="s">
        <v>137</v>
      </c>
      <c r="E11" s="127" t="s">
        <v>39</v>
      </c>
      <c r="F11" s="126" t="s">
        <v>136</v>
      </c>
      <c r="G11" s="89" t="s">
        <v>170</v>
      </c>
      <c r="H11" s="126" t="s">
        <v>38</v>
      </c>
      <c r="I11" s="89" t="s">
        <v>211</v>
      </c>
      <c r="J11" s="293"/>
      <c r="K11" s="89"/>
      <c r="L11" s="89"/>
    </row>
    <row r="12" spans="1:13" x14ac:dyDescent="0.25">
      <c r="A12" s="81" t="s">
        <v>252</v>
      </c>
      <c r="B12" s="110">
        <v>44273</v>
      </c>
      <c r="C12" s="128"/>
      <c r="D12" s="121" t="s">
        <v>199</v>
      </c>
      <c r="E12" s="130">
        <v>9360</v>
      </c>
      <c r="F12" s="119" t="s">
        <v>209</v>
      </c>
      <c r="G12" s="121">
        <v>10140</v>
      </c>
      <c r="H12" s="121">
        <f>ROUND(SUM(G12*5%),2)</f>
        <v>507</v>
      </c>
      <c r="I12" s="121">
        <f>SUM(G12+H12,2)</f>
        <v>10649</v>
      </c>
      <c r="J12" s="291"/>
      <c r="K12" s="121"/>
      <c r="L12" s="121">
        <v>10649</v>
      </c>
      <c r="M12" s="226" t="s">
        <v>232</v>
      </c>
    </row>
    <row r="13" spans="1:13" x14ac:dyDescent="0.25">
      <c r="A13" s="81" t="s">
        <v>247</v>
      </c>
      <c r="B13" s="121" t="s">
        <v>174</v>
      </c>
      <c r="C13" s="133">
        <v>700</v>
      </c>
      <c r="D13" s="121" t="s">
        <v>199</v>
      </c>
      <c r="E13" s="122">
        <v>12591</v>
      </c>
      <c r="F13" s="131" t="s">
        <v>174</v>
      </c>
      <c r="G13" s="121">
        <v>12456</v>
      </c>
      <c r="H13" s="121"/>
      <c r="I13" s="121">
        <f>SUM(G13+H13)</f>
        <v>12456</v>
      </c>
      <c r="J13" s="291"/>
      <c r="K13" s="121"/>
      <c r="L13" s="121">
        <v>12456</v>
      </c>
      <c r="M13" s="227" t="s">
        <v>233</v>
      </c>
    </row>
    <row r="14" spans="1:13" x14ac:dyDescent="0.25">
      <c r="A14" s="81" t="s">
        <v>235</v>
      </c>
      <c r="B14" s="190"/>
      <c r="C14" s="189"/>
      <c r="D14" s="121"/>
      <c r="E14" s="122"/>
      <c r="F14" s="131"/>
      <c r="G14" s="121"/>
      <c r="H14" s="121"/>
      <c r="I14" s="121">
        <v>18792</v>
      </c>
      <c r="J14" s="291"/>
      <c r="K14" s="121"/>
      <c r="L14" s="121">
        <v>18792</v>
      </c>
      <c r="M14" s="227" t="s">
        <v>233</v>
      </c>
    </row>
    <row r="15" spans="1:13" x14ac:dyDescent="0.25">
      <c r="A15" s="123" t="s">
        <v>132</v>
      </c>
      <c r="B15" s="122" t="s">
        <v>174</v>
      </c>
      <c r="C15" s="134"/>
      <c r="D15" s="124"/>
      <c r="E15" s="135">
        <f>SUM(E12:E13)</f>
        <v>21951</v>
      </c>
      <c r="F15" s="136" t="s">
        <v>174</v>
      </c>
      <c r="G15" s="124">
        <f>SUM(G12:G13)</f>
        <v>22596</v>
      </c>
      <c r="H15" s="136" t="s">
        <v>174</v>
      </c>
      <c r="I15" s="124">
        <f>SUM(I12:I13)</f>
        <v>23105</v>
      </c>
      <c r="J15" s="292"/>
      <c r="K15" s="124"/>
      <c r="L15" s="124">
        <f>SUM(L12:L13)</f>
        <v>23105</v>
      </c>
    </row>
    <row r="16" spans="1:13" x14ac:dyDescent="0.25">
      <c r="A16" s="88" t="s">
        <v>133</v>
      </c>
      <c r="B16" s="126" t="s">
        <v>171</v>
      </c>
      <c r="C16" s="132" t="s">
        <v>131</v>
      </c>
      <c r="D16" s="126" t="s">
        <v>137</v>
      </c>
      <c r="E16" s="127" t="s">
        <v>39</v>
      </c>
      <c r="F16" s="137" t="s">
        <v>136</v>
      </c>
      <c r="G16" s="89" t="s">
        <v>170</v>
      </c>
      <c r="H16" s="137" t="s">
        <v>38</v>
      </c>
      <c r="I16" s="89" t="s">
        <v>211</v>
      </c>
      <c r="J16" s="293"/>
      <c r="K16" s="89"/>
      <c r="L16" s="89"/>
    </row>
    <row r="17" spans="1:13" x14ac:dyDescent="0.25">
      <c r="A17" s="81" t="s">
        <v>149</v>
      </c>
      <c r="B17" s="121" t="s">
        <v>174</v>
      </c>
      <c r="C17" s="133"/>
      <c r="D17" s="129">
        <v>2400</v>
      </c>
      <c r="E17" s="130">
        <v>3840</v>
      </c>
      <c r="F17" s="131" t="s">
        <v>174</v>
      </c>
      <c r="G17" s="121">
        <v>3840</v>
      </c>
      <c r="H17" s="121"/>
      <c r="I17" s="121">
        <f>SUM(G17+H17)</f>
        <v>3840</v>
      </c>
      <c r="J17" s="291"/>
      <c r="K17" s="121"/>
      <c r="L17" s="121">
        <v>3840</v>
      </c>
      <c r="M17" s="227" t="s">
        <v>234</v>
      </c>
    </row>
    <row r="18" spans="1:13" x14ac:dyDescent="0.25">
      <c r="A18" s="81" t="s">
        <v>150</v>
      </c>
      <c r="B18" s="121" t="s">
        <v>174</v>
      </c>
      <c r="C18" s="133"/>
      <c r="D18" s="129">
        <v>2400</v>
      </c>
      <c r="E18" s="130">
        <v>2880</v>
      </c>
      <c r="F18" s="131" t="s">
        <v>174</v>
      </c>
      <c r="G18" s="121">
        <v>2880</v>
      </c>
      <c r="H18" s="131" t="s">
        <v>174</v>
      </c>
      <c r="I18" s="121">
        <v>2880</v>
      </c>
      <c r="J18" s="291"/>
      <c r="K18" s="121"/>
      <c r="L18" s="121">
        <v>2880</v>
      </c>
      <c r="M18" s="227" t="s">
        <v>234</v>
      </c>
    </row>
    <row r="19" spans="1:13" x14ac:dyDescent="0.25">
      <c r="A19" s="123" t="s">
        <v>134</v>
      </c>
      <c r="B19" s="125"/>
      <c r="C19" s="134"/>
      <c r="D19" s="124">
        <f>SUM(D17:D18)</f>
        <v>4800</v>
      </c>
      <c r="E19" s="135">
        <f>SUM(E17:E18)</f>
        <v>6720</v>
      </c>
      <c r="F19" s="136" t="s">
        <v>174</v>
      </c>
      <c r="G19" s="124">
        <f>SUM(G16:G18)</f>
        <v>6720</v>
      </c>
      <c r="H19" s="136" t="s">
        <v>174</v>
      </c>
      <c r="I19" s="124">
        <f>SUM(I16:I18)</f>
        <v>6720</v>
      </c>
      <c r="J19" s="292"/>
      <c r="K19" s="124"/>
      <c r="L19" s="124">
        <f>SUM(L16:L18)</f>
        <v>6720</v>
      </c>
    </row>
    <row r="20" spans="1:13" x14ac:dyDescent="0.25">
      <c r="A20" s="138" t="s">
        <v>124</v>
      </c>
      <c r="B20" s="139" t="s">
        <v>171</v>
      </c>
      <c r="C20" s="140" t="s">
        <v>131</v>
      </c>
      <c r="D20" s="141" t="s">
        <v>137</v>
      </c>
      <c r="E20" s="127" t="s">
        <v>39</v>
      </c>
      <c r="F20" s="142" t="s">
        <v>136</v>
      </c>
      <c r="G20" s="89" t="s">
        <v>170</v>
      </c>
      <c r="H20" s="142" t="s">
        <v>38</v>
      </c>
      <c r="I20" s="89" t="s">
        <v>211</v>
      </c>
      <c r="J20" s="293"/>
      <c r="K20" s="89"/>
      <c r="L20" s="89"/>
    </row>
    <row r="21" spans="1:13" x14ac:dyDescent="0.25">
      <c r="A21" s="143" t="s">
        <v>125</v>
      </c>
      <c r="B21" s="144" t="s">
        <v>126</v>
      </c>
      <c r="C21" s="145" t="s">
        <v>174</v>
      </c>
      <c r="D21" s="154" t="s">
        <v>174</v>
      </c>
      <c r="E21" s="155" t="s">
        <v>174</v>
      </c>
      <c r="F21" s="146" t="s">
        <v>174</v>
      </c>
      <c r="G21" s="121"/>
      <c r="H21" s="146" t="s">
        <v>174</v>
      </c>
      <c r="I21" s="121"/>
      <c r="J21" s="291"/>
      <c r="K21" s="121"/>
      <c r="L21" s="121"/>
    </row>
    <row r="22" spans="1:13" x14ac:dyDescent="0.25">
      <c r="A22" s="143" t="s">
        <v>208</v>
      </c>
      <c r="B22" s="152">
        <v>44927</v>
      </c>
      <c r="C22" s="145"/>
      <c r="D22" s="122"/>
      <c r="E22" s="130">
        <v>12483.6</v>
      </c>
      <c r="F22" s="146" t="s">
        <v>185</v>
      </c>
      <c r="G22" s="121">
        <v>15603.6</v>
      </c>
      <c r="H22" s="121">
        <f>ROUND(SUM(G22*5%),2)</f>
        <v>780.18</v>
      </c>
      <c r="I22" s="121">
        <f>ROUND(SUM(G22+H22),2)</f>
        <v>16383.78</v>
      </c>
      <c r="J22" s="291">
        <v>0.03</v>
      </c>
      <c r="K22" s="298">
        <f>I22*J22</f>
        <v>491.51339999999999</v>
      </c>
      <c r="L22" s="299">
        <f>SUM(I22+K22)</f>
        <v>16875.293400000002</v>
      </c>
    </row>
    <row r="23" spans="1:13" x14ac:dyDescent="0.25">
      <c r="A23" s="143" t="s">
        <v>178</v>
      </c>
      <c r="B23" s="152">
        <v>39814</v>
      </c>
      <c r="C23" s="145"/>
      <c r="D23" s="122"/>
      <c r="E23" s="130">
        <v>12483.6</v>
      </c>
      <c r="F23" s="146" t="s">
        <v>185</v>
      </c>
      <c r="G23" s="121">
        <v>15603.6</v>
      </c>
      <c r="H23" s="121">
        <f t="shared" ref="H23:H26" si="0">ROUND(SUM(G23*5%),2)</f>
        <v>780.18</v>
      </c>
      <c r="I23" s="121">
        <f>SUM(G23+H23)</f>
        <v>16383.78</v>
      </c>
      <c r="J23" s="291">
        <v>0.03</v>
      </c>
      <c r="K23" s="298">
        <f t="shared" ref="K23:K26" si="1">I23*J23</f>
        <v>491.51339999999999</v>
      </c>
      <c r="L23" s="299">
        <f t="shared" ref="L22:L25" si="2">SUM(I23+K23)</f>
        <v>16875.293400000002</v>
      </c>
    </row>
    <row r="24" spans="1:13" x14ac:dyDescent="0.25">
      <c r="A24" s="143" t="s">
        <v>179</v>
      </c>
      <c r="B24" s="152">
        <v>43466</v>
      </c>
      <c r="C24" s="145"/>
      <c r="D24" s="122"/>
      <c r="E24" s="130">
        <v>12483.6</v>
      </c>
      <c r="F24" s="146" t="s">
        <v>185</v>
      </c>
      <c r="G24" s="121">
        <v>15603.6</v>
      </c>
      <c r="H24" s="121">
        <f t="shared" si="0"/>
        <v>780.18</v>
      </c>
      <c r="I24" s="121">
        <f>SUM(G24+H24)</f>
        <v>16383.78</v>
      </c>
      <c r="J24" s="291">
        <v>0.03</v>
      </c>
      <c r="K24" s="298">
        <f t="shared" si="1"/>
        <v>491.51339999999999</v>
      </c>
      <c r="L24" s="299">
        <f t="shared" si="2"/>
        <v>16875.293400000002</v>
      </c>
    </row>
    <row r="25" spans="1:13" x14ac:dyDescent="0.25">
      <c r="A25" s="143" t="s">
        <v>180</v>
      </c>
      <c r="B25" s="152">
        <v>43467</v>
      </c>
      <c r="C25" s="145"/>
      <c r="D25" s="122"/>
      <c r="E25" s="130">
        <v>12483.6</v>
      </c>
      <c r="F25" s="146" t="s">
        <v>185</v>
      </c>
      <c r="G25" s="121">
        <v>15603.6</v>
      </c>
      <c r="H25" s="121">
        <f t="shared" si="0"/>
        <v>780.18</v>
      </c>
      <c r="I25" s="121">
        <f>SUM(G25+H25)</f>
        <v>16383.78</v>
      </c>
      <c r="J25" s="291">
        <v>0.03</v>
      </c>
      <c r="K25" s="298">
        <f t="shared" si="1"/>
        <v>491.51339999999999</v>
      </c>
      <c r="L25" s="299">
        <f t="shared" si="2"/>
        <v>16875.293400000002</v>
      </c>
    </row>
    <row r="26" spans="1:13" x14ac:dyDescent="0.25">
      <c r="A26" s="143" t="s">
        <v>181</v>
      </c>
      <c r="B26" s="152">
        <v>40544</v>
      </c>
      <c r="C26" s="145"/>
      <c r="D26" s="122"/>
      <c r="E26" s="130">
        <v>12483.6</v>
      </c>
      <c r="F26" s="146" t="s">
        <v>185</v>
      </c>
      <c r="G26" s="121">
        <v>15603.6</v>
      </c>
      <c r="H26" s="121">
        <f t="shared" si="0"/>
        <v>780.18</v>
      </c>
      <c r="I26" s="121">
        <f>SUM(G26+H26)</f>
        <v>16383.78</v>
      </c>
      <c r="J26" s="291">
        <v>0.03</v>
      </c>
      <c r="K26" s="298">
        <f t="shared" si="1"/>
        <v>491.51339999999999</v>
      </c>
      <c r="L26" s="299">
        <f>SUM(I26+K26)</f>
        <v>16875.293400000002</v>
      </c>
    </row>
    <row r="27" spans="1:13" x14ac:dyDescent="0.25">
      <c r="A27" s="143" t="s">
        <v>223</v>
      </c>
      <c r="B27" s="152"/>
      <c r="C27" s="145">
        <v>47000</v>
      </c>
      <c r="D27" s="122"/>
      <c r="E27" s="130">
        <v>70000</v>
      </c>
      <c r="F27" s="146" t="s">
        <v>185</v>
      </c>
      <c r="G27" s="121">
        <v>6000</v>
      </c>
      <c r="H27" s="146"/>
      <c r="I27" s="121">
        <f>SUM(G27+H27)</f>
        <v>6000</v>
      </c>
      <c r="J27" s="291"/>
      <c r="K27" s="121"/>
      <c r="L27" s="121">
        <v>6000</v>
      </c>
    </row>
    <row r="28" spans="1:13" x14ac:dyDescent="0.25">
      <c r="A28" s="123" t="s">
        <v>195</v>
      </c>
      <c r="B28" s="124"/>
      <c r="C28" s="147"/>
      <c r="D28" s="122">
        <f>SUM(D22:D27)</f>
        <v>0</v>
      </c>
      <c r="E28" s="130">
        <f>SUM(E22:E27)</f>
        <v>132418</v>
      </c>
      <c r="F28" s="135" t="s">
        <v>174</v>
      </c>
      <c r="G28" s="131">
        <f>SUM(G22:G27)</f>
        <v>84018</v>
      </c>
      <c r="H28" s="135" t="s">
        <v>174</v>
      </c>
      <c r="I28" s="136">
        <f>SUM(I22:I27)</f>
        <v>87918.900000000009</v>
      </c>
      <c r="J28" s="294"/>
      <c r="K28" s="136"/>
      <c r="L28" s="136">
        <f>SUM(L22:L27)</f>
        <v>90376.467000000004</v>
      </c>
    </row>
    <row r="29" spans="1:13" x14ac:dyDescent="0.25">
      <c r="A29" s="143" t="s">
        <v>182</v>
      </c>
      <c r="B29" s="152">
        <v>41939</v>
      </c>
      <c r="C29" s="145">
        <v>1040</v>
      </c>
      <c r="D29" s="122"/>
      <c r="E29" s="130">
        <v>45069</v>
      </c>
      <c r="F29" s="146" t="s">
        <v>185</v>
      </c>
      <c r="G29" s="121">
        <v>46629.120000000003</v>
      </c>
      <c r="H29" s="121">
        <f>ROUND(SUM(G29*5%),2)</f>
        <v>2331.46</v>
      </c>
      <c r="I29" s="121">
        <f>SUM(G29+H29)</f>
        <v>48960.58</v>
      </c>
      <c r="J29" s="291">
        <v>0.03</v>
      </c>
      <c r="K29" s="298">
        <f>I29*J29</f>
        <v>1468.8173999999999</v>
      </c>
      <c r="L29" s="299">
        <f>SUM(I29+K29)</f>
        <v>50429.397400000002</v>
      </c>
    </row>
    <row r="30" spans="1:13" x14ac:dyDescent="0.25">
      <c r="A30" s="123" t="s">
        <v>196</v>
      </c>
      <c r="B30" s="117"/>
      <c r="C30" s="117"/>
      <c r="D30" s="117"/>
      <c r="E30" s="156">
        <f>E28+E29</f>
        <v>177487</v>
      </c>
      <c r="F30" s="157"/>
      <c r="G30" s="157">
        <f>G28+G29</f>
        <v>130647.12</v>
      </c>
      <c r="H30" s="157"/>
      <c r="I30" s="136">
        <f>I28+I29</f>
        <v>136879.48000000001</v>
      </c>
      <c r="J30" s="295"/>
      <c r="K30" s="157"/>
      <c r="L30" s="136">
        <f>L28+L29</f>
        <v>140805.86440000002</v>
      </c>
    </row>
    <row r="31" spans="1:13" x14ac:dyDescent="0.25">
      <c r="A31" s="229"/>
      <c r="B31" s="117"/>
      <c r="C31" s="117"/>
      <c r="D31" s="117"/>
      <c r="E31" s="120"/>
      <c r="F31" s="119"/>
      <c r="G31" s="118"/>
      <c r="H31" s="119"/>
      <c r="I31" s="118"/>
      <c r="J31" s="296"/>
      <c r="K31" s="118"/>
      <c r="L31" s="118"/>
    </row>
  </sheetData>
  <pageMargins left="0.25" right="0.25" top="0.75" bottom="0.75" header="0.3" footer="0.3"/>
  <pageSetup orientation="landscape" r:id="rId1"/>
  <headerFooter>
    <oddHeader>&amp;C2025 Miscellaneous Compensation&amp;RCreated 12/5/2024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view="pageLayout" zoomScaleNormal="100" workbookViewId="0">
      <selection activeCell="B16" sqref="B16"/>
    </sheetView>
  </sheetViews>
  <sheetFormatPr defaultRowHeight="15" x14ac:dyDescent="0.25"/>
  <cols>
    <col min="1" max="1" width="49.5703125" customWidth="1"/>
    <col min="2" max="2" width="28.42578125" customWidth="1"/>
    <col min="3" max="3" width="42.140625" customWidth="1"/>
  </cols>
  <sheetData>
    <row r="1" spans="1:3" s="68" customFormat="1" ht="40.5" customHeight="1" x14ac:dyDescent="0.25">
      <c r="A1" s="69"/>
      <c r="B1" s="70" t="s">
        <v>153</v>
      </c>
      <c r="C1" s="71" t="s">
        <v>154</v>
      </c>
    </row>
    <row r="2" spans="1:3" x14ac:dyDescent="0.25">
      <c r="A2" s="72" t="s">
        <v>139</v>
      </c>
      <c r="B2" s="73">
        <f>'Hourly Office'!P47</f>
        <v>35595.390000000065</v>
      </c>
      <c r="C2" s="52">
        <f>'Hourly Office'!Q47</f>
        <v>1270392.1800000002</v>
      </c>
    </row>
    <row r="3" spans="1:3" x14ac:dyDescent="0.25">
      <c r="A3" s="72" t="s">
        <v>140</v>
      </c>
      <c r="B3" s="74">
        <f>Highway!L19</f>
        <v>18532.8</v>
      </c>
      <c r="C3" s="52">
        <f>Highway!M19</f>
        <v>734115.20000000007</v>
      </c>
    </row>
    <row r="4" spans="1:3" x14ac:dyDescent="0.25">
      <c r="A4" s="72" t="s">
        <v>147</v>
      </c>
      <c r="B4" s="74">
        <f>Sheriff!P39</f>
        <v>0</v>
      </c>
      <c r="C4" s="52">
        <f>Sheriff!Q39</f>
        <v>53904.000000000029</v>
      </c>
    </row>
    <row r="5" spans="1:3" x14ac:dyDescent="0.25">
      <c r="A5" s="72" t="s">
        <v>141</v>
      </c>
      <c r="B5" s="74">
        <f>'Salaried Employees'!H16</f>
        <v>53584.6</v>
      </c>
      <c r="C5" s="52">
        <f>'Salaried Employees'!I16</f>
        <v>701133.58519999997</v>
      </c>
    </row>
    <row r="6" spans="1:3" x14ac:dyDescent="0.25">
      <c r="A6" s="72" t="s">
        <v>142</v>
      </c>
      <c r="B6" s="51">
        <v>0</v>
      </c>
      <c r="C6" s="79">
        <f>Miscellaneous!E6</f>
        <v>16200</v>
      </c>
    </row>
    <row r="7" spans="1:3" x14ac:dyDescent="0.25">
      <c r="A7" s="72" t="s">
        <v>143</v>
      </c>
      <c r="B7" s="74" t="str">
        <f>Miscellaneous!F15</f>
        <v xml:space="preserve"> </v>
      </c>
      <c r="C7" s="52">
        <f>Miscellaneous!E15</f>
        <v>21951</v>
      </c>
    </row>
    <row r="8" spans="1:3" x14ac:dyDescent="0.25">
      <c r="A8" s="72" t="s">
        <v>148</v>
      </c>
      <c r="B8" s="74" t="str">
        <f>Miscellaneous!F19</f>
        <v xml:space="preserve"> </v>
      </c>
      <c r="C8" s="52">
        <f>Miscellaneous!E19</f>
        <v>6720</v>
      </c>
    </row>
    <row r="9" spans="1:3" x14ac:dyDescent="0.25">
      <c r="A9" s="72" t="s">
        <v>144</v>
      </c>
      <c r="B9" s="74" t="str">
        <f>Miscellaneous!F21</f>
        <v xml:space="preserve"> </v>
      </c>
      <c r="C9" s="75" t="str">
        <f>Miscellaneous!E21</f>
        <v xml:space="preserve"> </v>
      </c>
    </row>
    <row r="10" spans="1:3" x14ac:dyDescent="0.25">
      <c r="A10" s="72" t="s">
        <v>145</v>
      </c>
      <c r="B10" s="74" t="str">
        <f>Miscellaneous!F29</f>
        <v>1.50/hr</v>
      </c>
      <c r="C10" s="75">
        <f>Miscellaneous!E29</f>
        <v>45069</v>
      </c>
    </row>
    <row r="11" spans="1:3" x14ac:dyDescent="0.25">
      <c r="A11" s="72" t="s">
        <v>146</v>
      </c>
      <c r="B11" s="74" t="e">
        <f>Miscellaneous!#REF!</f>
        <v>#REF!</v>
      </c>
      <c r="C11" s="75" t="e">
        <f>Miscellaneous!#REF!</f>
        <v>#REF!</v>
      </c>
    </row>
    <row r="12" spans="1:3" s="54" customFormat="1" ht="30" customHeight="1" thickBot="1" x14ac:dyDescent="0.3">
      <c r="A12" s="76" t="s">
        <v>138</v>
      </c>
      <c r="B12" s="77" t="e">
        <f>SUM(B2:B11)</f>
        <v>#REF!</v>
      </c>
      <c r="C12" s="78" t="e">
        <f>SUM(C2:C11)</f>
        <v>#REF!</v>
      </c>
    </row>
    <row r="14" spans="1:3" x14ac:dyDescent="0.25">
      <c r="A14" s="67"/>
      <c r="B14" s="67"/>
      <c r="C14" s="67"/>
    </row>
  </sheetData>
  <pageMargins left="0.7" right="0.7" top="0.75" bottom="0.75" header="0.3" footer="0.3"/>
  <pageSetup orientation="landscape" r:id="rId1"/>
  <headerFooter>
    <oddHeader xml:space="preserve">&amp;CCuster County 
2022 Wage Proposal&amp;R1/4/22
to reflect budgeted amounts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Hourly Office</vt:lpstr>
      <vt:lpstr>Highway</vt:lpstr>
      <vt:lpstr>Sheriff</vt:lpstr>
      <vt:lpstr>Salaried Employees</vt:lpstr>
      <vt:lpstr>Miscellaneous</vt:lpstr>
      <vt:lpstr>TOTALS</vt:lpstr>
    </vt:vector>
  </TitlesOfParts>
  <Company>CusterCo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ImageProfile</dc:creator>
  <cp:lastModifiedBy>Marlyn Campbell</cp:lastModifiedBy>
  <cp:lastPrinted>2025-01-23T15:44:36Z</cp:lastPrinted>
  <dcterms:created xsi:type="dcterms:W3CDTF">2017-07-20T21:53:15Z</dcterms:created>
  <dcterms:modified xsi:type="dcterms:W3CDTF">2025-01-23T15:46:11Z</dcterms:modified>
</cp:coreProperties>
</file>